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Circ arc" sheetId="1" r:id="rId1"/>
  </sheets>
  <definedNames/>
  <calcPr fullCalcOnLoad="1"/>
</workbook>
</file>

<file path=xl/sharedStrings.xml><?xml version="1.0" encoding="utf-8"?>
<sst xmlns="http://schemas.openxmlformats.org/spreadsheetml/2006/main" count="114" uniqueCount="87">
  <si>
    <t>Set the required chord.  The spreadsheet than translates, rotates, and scales the arc.  'Scaled' tab gives final shape.</t>
  </si>
  <si>
    <t>The analysis is approximate, since it numerically processes the list of 101 points.</t>
  </si>
  <si>
    <t>chord</t>
  </si>
  <si>
    <t>Steps</t>
  </si>
  <si>
    <t>Incr</t>
  </si>
  <si>
    <t>girth</t>
  </si>
  <si>
    <t>Check 2:</t>
  </si>
  <si>
    <t>max y</t>
  </si>
  <si>
    <t>If "Check 2" is "Oops", then</t>
  </si>
  <si>
    <t>draft posn</t>
  </si>
  <si>
    <t>there is more than one max y</t>
  </si>
  <si>
    <t>max draft</t>
  </si>
  <si>
    <t>Amount of max draft</t>
  </si>
  <si>
    <t>Max draft as % of chord</t>
  </si>
  <si>
    <t>entry (est)</t>
  </si>
  <si>
    <t>deg</t>
  </si>
  <si>
    <t>exit (est)</t>
  </si>
  <si>
    <t>zero lift</t>
  </si>
  <si>
    <t>Pankhurst (Abbott &amp; von Doenhoff, p72)</t>
  </si>
  <si>
    <t>Tanner (CL=0 at -2m, where m=%max draft)</t>
  </si>
  <si>
    <t>Theodorsen (Abbott &amp; von Doenhoff, p.71)</t>
  </si>
  <si>
    <t>"ideal" alpha</t>
  </si>
  <si>
    <t>"ideal" Cl</t>
  </si>
  <si>
    <t>max CL (est)</t>
  </si>
  <si>
    <t>Cm</t>
  </si>
  <si>
    <t>The graph is plotted for a visual representation, from points 0 to 100.</t>
  </si>
  <si>
    <t>Points -1 and 101 are used to estimate</t>
  </si>
  <si>
    <t>the entry and exit tangents.</t>
  </si>
  <si>
    <t>Translate</t>
  </si>
  <si>
    <t>Rotate</t>
  </si>
  <si>
    <t>Scale</t>
  </si>
  <si>
    <t>x</t>
  </si>
  <si>
    <t>phi</t>
  </si>
  <si>
    <t>s</t>
  </si>
  <si>
    <t>y</t>
  </si>
  <si>
    <t>sin</t>
  </si>
  <si>
    <t>Estimating angle of zero lift (Theodorsen)</t>
  </si>
  <si>
    <t>Estimating pitching moment (Theodorsen)</t>
  </si>
  <si>
    <t>Estimating ideal angle of attack (Theodorsen)</t>
  </si>
  <si>
    <t>cos</t>
  </si>
  <si>
    <t>find</t>
  </si>
  <si>
    <t>Estimating angle of zero lift (Pankhurst)</t>
  </si>
  <si>
    <t>Estimating moment coefficient (Pankhurst)</t>
  </si>
  <si>
    <t>Point #</t>
  </si>
  <si>
    <t>r</t>
  </si>
  <si>
    <t>x'</t>
  </si>
  <si>
    <t>y'</t>
  </si>
  <si>
    <t>x''</t>
  </si>
  <si>
    <t>y''</t>
  </si>
  <si>
    <t>x'''</t>
  </si>
  <si>
    <t>y'''</t>
  </si>
  <si>
    <t>Cm=</t>
  </si>
  <si>
    <t>Beta(0)=</t>
  </si>
  <si>
    <t>Alpha(I)=</t>
  </si>
  <si>
    <t>degrees</t>
  </si>
  <si>
    <t>Cl(I)=</t>
  </si>
  <si>
    <t>Non-adjusted alpha(I)=</t>
  </si>
  <si>
    <t>Theta</t>
  </si>
  <si>
    <t>Start theta</t>
  </si>
  <si>
    <t xml:space="preserve"> rad</t>
  </si>
  <si>
    <t>End theta</t>
  </si>
  <si>
    <t>Desired aerofoil chord</t>
  </si>
  <si>
    <t>Estimated position of maximum draft wrt to chord</t>
  </si>
  <si>
    <t>draft</t>
  </si>
  <si>
    <t>x/c</t>
  </si>
  <si>
    <t>y/c</t>
  </si>
  <si>
    <t>Mu(0)</t>
  </si>
  <si>
    <t>rad</t>
  </si>
  <si>
    <t>corr x</t>
  </si>
  <si>
    <t>corr r</t>
  </si>
  <si>
    <t>Circular arc analysis</t>
  </si>
  <si>
    <t>The radius parameter, leave as 1</t>
  </si>
  <si>
    <t>Arc length</t>
  </si>
  <si>
    <t>radius</t>
  </si>
  <si>
    <t>sag</t>
  </si>
  <si>
    <t>The arc is given by x = r * cos(theta), y = r * sin(theta).</t>
  </si>
  <si>
    <t>parameter r</t>
  </si>
  <si>
    <t>x at max y</t>
  </si>
  <si>
    <t>Non-adj. Beta(0)=</t>
  </si>
  <si>
    <t>Same as scale factor</t>
  </si>
  <si>
    <t>For some reason, this</t>
  </si>
  <si>
    <t>works best when the</t>
  </si>
  <si>
    <t>start 'theta' is larger</t>
  </si>
  <si>
    <t>than the end 'theta'.</t>
  </si>
  <si>
    <t>Rough out an arc by setting start 'theta' value, to yield a required % max draft and position.</t>
  </si>
  <si>
    <t>Un-adjusted Theodorsen</t>
  </si>
  <si>
    <t>Empirical (CL=pi(Entry+Zero lift))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</si>
</sst>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0.000000"/>
    <numFmt numFmtId="178" formatCode="0.0000000"/>
  </numFmts>
  <fonts count="10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b/>
      <sz val="16"/>
      <name val="Arial"/>
      <family val="2"/>
    </font>
    <font>
      <sz val="11"/>
      <color indexed="10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19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75" fontId="0" fillId="0" borderId="0" xfId="19" applyNumberFormat="1" applyFill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176" fontId="0" fillId="0" borderId="0" xfId="19" applyNumberFormat="1" applyFill="1" applyAlignment="1">
      <alignment/>
    </xf>
    <xf numFmtId="0" fontId="0" fillId="0" borderId="0" xfId="0" applyFont="1" applyAlignment="1">
      <alignment horizontal="center"/>
    </xf>
    <xf numFmtId="174" fontId="0" fillId="0" borderId="0" xfId="0" applyNumberFormat="1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75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9" fillId="0" borderId="0" xfId="0" applyNumberFormat="1" applyFont="1" applyAlignment="1">
      <alignment horizontal="right"/>
    </xf>
    <xf numFmtId="174" fontId="9" fillId="0" borderId="0" xfId="0" applyNumberFormat="1" applyFont="1" applyAlignment="1">
      <alignment/>
    </xf>
    <xf numFmtId="174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3" borderId="0" xfId="19" applyNumberFormat="1" applyFill="1" applyAlignment="1">
      <alignment/>
    </xf>
    <xf numFmtId="10" fontId="0" fillId="3" borderId="0" xfId="19" applyNumberFormat="1" applyFill="1" applyAlignment="1">
      <alignment/>
    </xf>
    <xf numFmtId="176" fontId="0" fillId="3" borderId="0" xfId="19" applyNumberFormat="1" applyFill="1" applyAlignment="1">
      <alignment/>
    </xf>
    <xf numFmtId="175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95"/>
          <c:h val="0.968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'Circ arc'!$E$47:$E$147</c:f>
              <c:numCache/>
            </c:numRef>
          </c:xVal>
          <c:yVal>
            <c:numRef>
              <c:f>'Circ arc'!$F$47:$F$147</c:f>
              <c:numCache/>
            </c:numRef>
          </c:yVal>
          <c:smooth val="1"/>
        </c:ser>
        <c:axId val="376025"/>
        <c:axId val="3384226"/>
      </c:scatterChart>
      <c:valAx>
        <c:axId val="376025"/>
        <c:scaling>
          <c:orientation val="minMax"/>
        </c:scaling>
        <c:axPos val="b"/>
        <c:delete val="0"/>
        <c:numFmt formatCode="0.0" sourceLinked="0"/>
        <c:majorTickMark val="in"/>
        <c:minorTickMark val="none"/>
        <c:tickLblPos val="nextTo"/>
        <c:crossAx val="3384226"/>
        <c:crosses val="autoZero"/>
        <c:crossBetween val="midCat"/>
        <c:dispUnits/>
      </c:valAx>
      <c:valAx>
        <c:axId val="3384226"/>
        <c:scaling>
          <c:orientation val="minMax"/>
        </c:scaling>
        <c:axPos val="l"/>
        <c:delete val="0"/>
        <c:numFmt formatCode="0.0" sourceLinked="0"/>
        <c:majorTickMark val="in"/>
        <c:minorTickMark val="none"/>
        <c:tickLblPos val="nextTo"/>
        <c:crossAx val="3760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6525"/>
          <c:h val="0.878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'Circ arc'!$K$47:$K$147</c:f>
              <c:numCache/>
            </c:numRef>
          </c:xVal>
          <c:yVal>
            <c:numRef>
              <c:f>'Circ arc'!$M$47:$M$147</c:f>
              <c:numCache/>
            </c:numRef>
          </c:yVal>
          <c:smooth val="1"/>
        </c:ser>
        <c:axId val="30458035"/>
        <c:axId val="5686860"/>
      </c:scatterChart>
      <c:valAx>
        <c:axId val="3045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6860"/>
        <c:crosses val="autoZero"/>
        <c:crossBetween val="midCat"/>
        <c:dispUnits/>
      </c:valAx>
      <c:valAx>
        <c:axId val="5686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58035"/>
        <c:crosses val="autoZero"/>
        <c:crossBetween val="midCat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66675</xdr:rowOff>
    </xdr:from>
    <xdr:to>
      <xdr:col>25</xdr:col>
      <xdr:colOff>295275</xdr:colOff>
      <xdr:row>26</xdr:row>
      <xdr:rowOff>38100</xdr:rowOff>
    </xdr:to>
    <xdr:graphicFrame>
      <xdr:nvGraphicFramePr>
        <xdr:cNvPr id="1" name="Chart 3"/>
        <xdr:cNvGraphicFramePr/>
      </xdr:nvGraphicFramePr>
      <xdr:xfrm>
        <a:off x="7743825" y="66675"/>
        <a:ext cx="45529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26</xdr:row>
      <xdr:rowOff>114300</xdr:rowOff>
    </xdr:from>
    <xdr:to>
      <xdr:col>37</xdr:col>
      <xdr:colOff>428625</xdr:colOff>
      <xdr:row>40</xdr:row>
      <xdr:rowOff>95250</xdr:rowOff>
    </xdr:to>
    <xdr:graphicFrame>
      <xdr:nvGraphicFramePr>
        <xdr:cNvPr id="2" name="Chart 4"/>
        <xdr:cNvGraphicFramePr/>
      </xdr:nvGraphicFramePr>
      <xdr:xfrm>
        <a:off x="7753350" y="4895850"/>
        <a:ext cx="89154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9"/>
  <sheetViews>
    <sheetView tabSelected="1" zoomScale="75" zoomScaleNormal="75" workbookViewId="0" topLeftCell="A1">
      <selection activeCell="B8" sqref="B8"/>
    </sheetView>
  </sheetViews>
  <sheetFormatPr defaultColWidth="9.00390625" defaultRowHeight="14.25"/>
  <cols>
    <col min="1" max="1" width="10.375" style="0" customWidth="1"/>
    <col min="2" max="2" width="6.25390625" style="0" customWidth="1"/>
    <col min="3" max="3" width="7.125" style="0" customWidth="1"/>
    <col min="4" max="4" width="5.50390625" style="0" customWidth="1"/>
    <col min="5" max="5" width="11.875" style="0" customWidth="1"/>
    <col min="6" max="6" width="7.625" style="0" customWidth="1"/>
    <col min="7" max="7" width="6.625" style="0" customWidth="1"/>
    <col min="8" max="8" width="7.25390625" style="0" customWidth="1"/>
    <col min="9" max="9" width="6.625" style="0" customWidth="1"/>
    <col min="10" max="10" width="6.375" style="0" customWidth="1"/>
    <col min="11" max="12" width="6.875" style="0" customWidth="1"/>
    <col min="13" max="13" width="5.875" style="0" customWidth="1"/>
    <col min="14" max="14" width="6.00390625" style="0" customWidth="1"/>
    <col min="15" max="16" width="7.125" style="0" customWidth="1"/>
    <col min="17" max="17" width="2.125" style="0" customWidth="1"/>
    <col min="18" max="18" width="4.00390625" style="0" customWidth="1"/>
    <col min="19" max="34" width="5.125" style="0" customWidth="1"/>
    <col min="35" max="35" width="2.25390625" style="0" customWidth="1"/>
    <col min="36" max="36" width="4.875" style="0" customWidth="1"/>
    <col min="37" max="37" width="2.375" style="0" customWidth="1"/>
    <col min="38" max="42" width="7.50390625" style="0" customWidth="1"/>
  </cols>
  <sheetData>
    <row r="1" ht="20.25">
      <c r="A1" s="6" t="s">
        <v>70</v>
      </c>
    </row>
    <row r="3" ht="14.25">
      <c r="A3" t="s">
        <v>75</v>
      </c>
    </row>
    <row r="4" ht="14.25">
      <c r="A4" t="s">
        <v>84</v>
      </c>
    </row>
    <row r="5" ht="14.25">
      <c r="A5" t="s">
        <v>0</v>
      </c>
    </row>
    <row r="6" ht="14.25">
      <c r="A6" t="s">
        <v>1</v>
      </c>
    </row>
    <row r="8" spans="1:13" ht="14.25">
      <c r="A8" t="s">
        <v>58</v>
      </c>
      <c r="B8" s="34">
        <v>0.7895</v>
      </c>
      <c r="C8" t="s">
        <v>59</v>
      </c>
      <c r="E8" t="s">
        <v>76</v>
      </c>
      <c r="F8" s="15">
        <v>1</v>
      </c>
      <c r="H8" t="s">
        <v>71</v>
      </c>
      <c r="J8" s="15"/>
      <c r="K8" s="15"/>
      <c r="L8" s="15"/>
      <c r="M8" s="15"/>
    </row>
    <row r="9" spans="1:13" ht="14.25">
      <c r="A9" t="s">
        <v>60</v>
      </c>
      <c r="B9" s="19">
        <v>0</v>
      </c>
      <c r="C9" t="s">
        <v>59</v>
      </c>
      <c r="F9" s="15"/>
      <c r="J9" s="15"/>
      <c r="K9" s="15"/>
      <c r="L9" s="15"/>
      <c r="M9" s="15"/>
    </row>
    <row r="10" spans="2:13" ht="14.25">
      <c r="B10" s="19"/>
      <c r="E10" t="s">
        <v>2</v>
      </c>
      <c r="F10" s="35">
        <v>355</v>
      </c>
      <c r="H10" t="s">
        <v>61</v>
      </c>
      <c r="J10" s="15"/>
      <c r="K10" s="15"/>
      <c r="L10" s="15"/>
      <c r="M10" s="15"/>
    </row>
    <row r="11" spans="1:13" ht="14.25">
      <c r="A11" t="s">
        <v>3</v>
      </c>
      <c r="B11">
        <v>100</v>
      </c>
      <c r="F11" s="3"/>
      <c r="J11" s="16"/>
      <c r="K11" s="16"/>
      <c r="L11" s="16"/>
      <c r="M11" s="16"/>
    </row>
    <row r="12" spans="1:13" ht="14.25">
      <c r="A12" t="s">
        <v>4</v>
      </c>
      <c r="B12" s="1">
        <f>(B9-B8)/B11</f>
        <v>-0.007895</v>
      </c>
      <c r="C12" t="s">
        <v>59</v>
      </c>
      <c r="E12" t="s">
        <v>73</v>
      </c>
      <c r="F12" s="2">
        <f>(F18^2+F10^2/4)/(2*F18)</f>
        <v>461.54554906475386</v>
      </c>
      <c r="H12" t="s">
        <v>79</v>
      </c>
      <c r="J12" s="8"/>
      <c r="K12" s="8"/>
      <c r="L12" s="8"/>
      <c r="M12" s="8"/>
    </row>
    <row r="13" spans="5:13" ht="14.25">
      <c r="E13" t="s">
        <v>5</v>
      </c>
      <c r="F13" s="8">
        <f>ABS(B8-B9)*F12</f>
        <v>364.3902109866232</v>
      </c>
      <c r="H13" t="s">
        <v>72</v>
      </c>
      <c r="J13" s="8"/>
      <c r="K13" s="8"/>
      <c r="L13" s="8"/>
      <c r="M13" s="8"/>
    </row>
    <row r="14" spans="1:13" ht="14.25">
      <c r="A14" t="s">
        <v>80</v>
      </c>
      <c r="B14" s="2"/>
      <c r="E14" t="s">
        <v>74</v>
      </c>
      <c r="F14" s="2">
        <f>F13-F10</f>
        <v>9.390210986623174</v>
      </c>
      <c r="J14" s="8"/>
      <c r="K14" s="8"/>
      <c r="L14" s="8"/>
      <c r="M14" s="8"/>
    </row>
    <row r="15" spans="1:13" ht="14.25">
      <c r="A15" t="s">
        <v>81</v>
      </c>
      <c r="B15" s="7"/>
      <c r="C15" s="2"/>
      <c r="E15" t="s">
        <v>7</v>
      </c>
      <c r="F15" s="2">
        <f>MAX(M47:M147)</f>
        <v>35.49620466731776</v>
      </c>
      <c r="J15" s="8"/>
      <c r="K15" s="8"/>
      <c r="L15" s="8"/>
      <c r="M15" s="8"/>
    </row>
    <row r="16" spans="1:13" ht="14.25">
      <c r="A16" t="s">
        <v>82</v>
      </c>
      <c r="E16" t="s">
        <v>77</v>
      </c>
      <c r="F16" s="2">
        <f>O149</f>
        <v>177.49999999999997</v>
      </c>
      <c r="J16" s="8"/>
      <c r="K16" s="8"/>
      <c r="L16" s="8"/>
      <c r="M16" s="8"/>
    </row>
    <row r="17" spans="1:13" ht="14.25">
      <c r="A17" s="10" t="s">
        <v>83</v>
      </c>
      <c r="J17" s="17"/>
      <c r="K17" s="17"/>
      <c r="L17" s="17"/>
      <c r="M17" s="8"/>
    </row>
    <row r="18" spans="1:13" ht="14.25">
      <c r="A18" s="7"/>
      <c r="E18" t="s">
        <v>11</v>
      </c>
      <c r="F18" s="9">
        <f>$F$15</f>
        <v>35.49620466731776</v>
      </c>
      <c r="H18" t="s">
        <v>12</v>
      </c>
      <c r="J18" s="9"/>
      <c r="K18" s="9"/>
      <c r="L18" s="9"/>
      <c r="M18" s="17"/>
    </row>
    <row r="19" spans="1:13" ht="14.25">
      <c r="A19" s="7"/>
      <c r="F19" s="9"/>
      <c r="J19" s="9"/>
      <c r="K19" s="9"/>
      <c r="L19" s="9"/>
      <c r="M19" s="9"/>
    </row>
    <row r="20" spans="1:13" ht="14.25">
      <c r="A20" s="7"/>
      <c r="J20" s="9"/>
      <c r="K20" s="9"/>
      <c r="L20" s="9"/>
      <c r="M20" s="9"/>
    </row>
    <row r="21" spans="1:13" ht="14.25">
      <c r="A21" s="10" t="s">
        <v>6</v>
      </c>
      <c r="B21" s="7" t="str">
        <f>IF(N149&lt;&gt;1,"Oops!","OK")</f>
        <v>OK</v>
      </c>
      <c r="E21" t="s">
        <v>63</v>
      </c>
      <c r="F21" s="37">
        <f>$F$18/$F$10</f>
        <v>0.09998930892202186</v>
      </c>
      <c r="H21" t="s">
        <v>13</v>
      </c>
      <c r="J21" s="8"/>
      <c r="K21" s="8"/>
      <c r="L21" s="8"/>
      <c r="M21" s="9"/>
    </row>
    <row r="22" spans="1:13" ht="14.25">
      <c r="A22" s="7"/>
      <c r="E22" t="s">
        <v>9</v>
      </c>
      <c r="F22" s="38">
        <f>IF($F$16/$F$10&lt;0.5,$F$16/$F$10,1-$F$16/$F$10)</f>
        <v>0.5</v>
      </c>
      <c r="H22" t="s">
        <v>62</v>
      </c>
      <c r="J22" s="17"/>
      <c r="K22" s="17"/>
      <c r="L22" s="17"/>
      <c r="M22" s="8"/>
    </row>
    <row r="23" spans="1:10" ht="14.25">
      <c r="A23" s="7" t="s">
        <v>8</v>
      </c>
      <c r="E23" t="s">
        <v>14</v>
      </c>
      <c r="F23" s="39">
        <f>180*ATAN((M48-M46)/(K48-K46))/PI()</f>
        <v>22.617508962789177</v>
      </c>
      <c r="G23" t="s">
        <v>15</v>
      </c>
      <c r="H23" s="12"/>
      <c r="I23" s="12"/>
      <c r="J23" s="15"/>
    </row>
    <row r="24" spans="1:10" ht="14.25">
      <c r="A24" s="7" t="s">
        <v>10</v>
      </c>
      <c r="E24" t="s">
        <v>16</v>
      </c>
      <c r="F24" s="39">
        <f>180*ATAN((M148-M146)/(K148-K146))/PI()</f>
        <v>-22.617508962789255</v>
      </c>
      <c r="G24" t="s">
        <v>15</v>
      </c>
      <c r="H24" s="12"/>
      <c r="I24" s="12"/>
      <c r="J24" s="15"/>
    </row>
    <row r="25" spans="6:13" ht="14.25">
      <c r="F25" s="2"/>
      <c r="J25" s="12"/>
      <c r="M25" s="12"/>
    </row>
    <row r="26" ht="14.25">
      <c r="A26" s="7"/>
    </row>
    <row r="27" spans="1:13" ht="14.25">
      <c r="A27" s="7"/>
      <c r="E27" t="s">
        <v>17</v>
      </c>
      <c r="F27" s="36">
        <f>-AJ49</f>
        <v>-12.20752666354624</v>
      </c>
      <c r="G27" t="s">
        <v>15</v>
      </c>
      <c r="H27" s="3" t="s">
        <v>18</v>
      </c>
      <c r="J27" s="12"/>
      <c r="K27" s="12"/>
      <c r="L27" s="12"/>
      <c r="M27" s="12"/>
    </row>
    <row r="28" spans="1:13" ht="14.25">
      <c r="A28" s="7"/>
      <c r="E28" t="s">
        <v>17</v>
      </c>
      <c r="F28" s="9">
        <f>-180*2*F21/PI()</f>
        <v>-11.457930795323279</v>
      </c>
      <c r="G28" t="s">
        <v>15</v>
      </c>
      <c r="H28" s="3" t="s">
        <v>19</v>
      </c>
      <c r="J28" s="12"/>
      <c r="K28" s="12"/>
      <c r="L28" s="12"/>
      <c r="M28" s="12"/>
    </row>
    <row r="29" spans="1:13" ht="14.25">
      <c r="A29" s="7"/>
      <c r="E29" t="s">
        <v>17</v>
      </c>
      <c r="F29" s="2">
        <f>-AN60</f>
        <v>-9.000732389630834</v>
      </c>
      <c r="G29" t="s">
        <v>15</v>
      </c>
      <c r="H29" t="s">
        <v>20</v>
      </c>
      <c r="M29" s="12"/>
    </row>
    <row r="30" spans="1:13" ht="14.25">
      <c r="A30" s="7"/>
      <c r="E30" t="s">
        <v>17</v>
      </c>
      <c r="F30" s="2">
        <f>-AN62</f>
        <v>-10.044626163878243</v>
      </c>
      <c r="G30" t="s">
        <v>15</v>
      </c>
      <c r="H30" t="s">
        <v>85</v>
      </c>
      <c r="M30" s="12"/>
    </row>
    <row r="31" spans="1:13" ht="14.25">
      <c r="A31" s="7"/>
      <c r="E31" t="s">
        <v>21</v>
      </c>
      <c r="F31" s="2">
        <f>AN73</f>
        <v>1.21753286779918</v>
      </c>
      <c r="G31" t="s">
        <v>15</v>
      </c>
      <c r="H31" t="s">
        <v>20</v>
      </c>
      <c r="M31" s="12"/>
    </row>
    <row r="32" spans="1:13" ht="14.25">
      <c r="A32" s="7"/>
      <c r="E32" t="s">
        <v>22</v>
      </c>
      <c r="F32" s="9">
        <f>AN74</f>
        <v>1.1205581750692193</v>
      </c>
      <c r="H32" t="s">
        <v>20</v>
      </c>
      <c r="J32" s="12"/>
      <c r="K32" s="12"/>
      <c r="L32" s="12"/>
      <c r="M32" s="12"/>
    </row>
    <row r="33" spans="1:13" ht="14.25">
      <c r="A33" s="7"/>
      <c r="E33" t="s">
        <v>23</v>
      </c>
      <c r="F33" s="36">
        <f>PI()*(PI()*(ABS(F23)+ABS(F28))/180)</f>
        <v>1.868395056698455</v>
      </c>
      <c r="H33" s="3" t="s">
        <v>86</v>
      </c>
      <c r="J33" s="12"/>
      <c r="K33" s="12"/>
      <c r="L33" s="12"/>
      <c r="M33" s="12"/>
    </row>
    <row r="34" spans="1:13" ht="14.25">
      <c r="A34" s="7"/>
      <c r="F34" s="12"/>
      <c r="H34" s="3"/>
      <c r="J34" s="12"/>
      <c r="K34" s="12"/>
      <c r="L34" s="12"/>
      <c r="M34" s="12"/>
    </row>
    <row r="35" spans="1:13" ht="14.25">
      <c r="A35" s="7"/>
      <c r="E35" t="s">
        <v>24</v>
      </c>
      <c r="F35" s="9">
        <f>-AJ53</f>
        <v>-0.3414492573676207</v>
      </c>
      <c r="H35" s="3" t="s">
        <v>18</v>
      </c>
      <c r="J35" s="12"/>
      <c r="K35" s="12"/>
      <c r="L35" s="12"/>
      <c r="M35" s="12"/>
    </row>
    <row r="36" spans="1:13" ht="14.25">
      <c r="A36" s="7"/>
      <c r="E36" t="s">
        <v>24</v>
      </c>
      <c r="F36" s="9">
        <f>AN67</f>
        <v>-0.26122793786352344</v>
      </c>
      <c r="H36" t="s">
        <v>20</v>
      </c>
      <c r="J36" s="12"/>
      <c r="K36" s="12"/>
      <c r="L36" s="12"/>
      <c r="M36" s="12"/>
    </row>
    <row r="37" spans="1:13" ht="14.25">
      <c r="A37" s="7"/>
      <c r="J37" s="12"/>
      <c r="K37" s="12"/>
      <c r="L37" s="12"/>
      <c r="M37" s="12"/>
    </row>
    <row r="38" spans="1:13" ht="14.25">
      <c r="A38" s="10" t="s">
        <v>25</v>
      </c>
      <c r="F38" s="12"/>
      <c r="G38" s="12"/>
      <c r="H38" s="12"/>
      <c r="I38" s="12"/>
      <c r="J38" s="12"/>
      <c r="K38" s="12"/>
      <c r="L38" s="12"/>
      <c r="M38" s="12"/>
    </row>
    <row r="39" spans="1:13" ht="14.25">
      <c r="A39" t="s">
        <v>26</v>
      </c>
      <c r="F39" s="9"/>
      <c r="G39" s="9"/>
      <c r="H39" s="9"/>
      <c r="I39" s="9"/>
      <c r="J39" s="9"/>
      <c r="K39" s="9"/>
      <c r="L39" s="9"/>
      <c r="M39" s="9"/>
    </row>
    <row r="40" spans="1:13" ht="15">
      <c r="A40" t="s">
        <v>27</v>
      </c>
      <c r="G40" s="13" t="s">
        <v>28</v>
      </c>
      <c r="H40" s="13"/>
      <c r="I40" s="13" t="s">
        <v>29</v>
      </c>
      <c r="J40" s="13"/>
      <c r="K40" s="13" t="s">
        <v>30</v>
      </c>
      <c r="L40" s="13"/>
      <c r="M40" s="13"/>
    </row>
    <row r="41" spans="3:15" ht="15">
      <c r="C41" s="18"/>
      <c r="D41" s="18"/>
      <c r="G41" s="18" t="s">
        <v>31</v>
      </c>
      <c r="H41" s="20">
        <f>MIN(E47:E147)</f>
        <v>0.7042004042929833</v>
      </c>
      <c r="I41" s="18" t="s">
        <v>32</v>
      </c>
      <c r="J41" s="18">
        <f>180*ATAN(IF($H$41=$E$47,$H$147,$H$47)/IF($H$41=$E$47,$G$147,$G$47))/PI()</f>
        <v>-67.38249103721076</v>
      </c>
      <c r="K41" s="18" t="s">
        <v>33</v>
      </c>
      <c r="L41" s="18"/>
      <c r="M41" s="18">
        <f>ABS(F10/(I147-I47))</f>
        <v>461.5455490647538</v>
      </c>
      <c r="N41" s="11"/>
      <c r="O41" s="11"/>
    </row>
    <row r="42" spans="7:38" ht="15">
      <c r="G42" s="18" t="s">
        <v>34</v>
      </c>
      <c r="H42" s="20">
        <f>IF(H41=E47,F47,F147)</f>
        <v>0.7100012609802879</v>
      </c>
      <c r="I42" s="18" t="s">
        <v>35</v>
      </c>
      <c r="J42" s="18">
        <f>SIN(PI()*J41/180)</f>
        <v>-0.9230927375656747</v>
      </c>
      <c r="K42" s="18"/>
      <c r="L42" s="18"/>
      <c r="M42" s="18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5"/>
      <c r="AB42" s="11"/>
      <c r="AC42" s="5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7:42" ht="15">
      <c r="G43" s="14"/>
      <c r="H43" s="14"/>
      <c r="I43" s="18" t="s">
        <v>39</v>
      </c>
      <c r="J43" s="18">
        <f>COS(PI()*J41/180)</f>
        <v>0.38457742764430203</v>
      </c>
      <c r="K43" s="18"/>
      <c r="L43" s="18"/>
      <c r="M43" s="18"/>
      <c r="N43" s="11" t="s">
        <v>40</v>
      </c>
      <c r="O43" s="11" t="s">
        <v>40</v>
      </c>
      <c r="P43" s="11" t="s">
        <v>40</v>
      </c>
      <c r="Q43" s="11"/>
      <c r="R43" t="s">
        <v>64</v>
      </c>
      <c r="S43" s="32">
        <v>0.125</v>
      </c>
      <c r="T43" s="24">
        <v>0.25</v>
      </c>
      <c r="U43" s="24">
        <v>0.5</v>
      </c>
      <c r="V43" s="24">
        <v>0.75</v>
      </c>
      <c r="W43" s="24">
        <v>1</v>
      </c>
      <c r="X43" s="24">
        <v>1.5</v>
      </c>
      <c r="Y43" s="24">
        <v>2</v>
      </c>
      <c r="Z43" s="24">
        <v>2.5</v>
      </c>
      <c r="AA43" s="24">
        <v>3</v>
      </c>
      <c r="AB43" s="24">
        <v>4</v>
      </c>
      <c r="AC43" s="24">
        <v>5</v>
      </c>
      <c r="AD43" s="24">
        <v>6</v>
      </c>
      <c r="AE43" s="24">
        <v>7</v>
      </c>
      <c r="AF43" s="24">
        <v>8</v>
      </c>
      <c r="AG43" s="24">
        <v>9</v>
      </c>
      <c r="AH43" s="24">
        <v>9.5</v>
      </c>
      <c r="AM43" s="21"/>
      <c r="AN43" s="21"/>
      <c r="AO43" s="21"/>
      <c r="AP43" s="21"/>
    </row>
    <row r="44" spans="1:39" ht="15">
      <c r="A44" s="4" t="s">
        <v>43</v>
      </c>
      <c r="B44" s="5" t="s">
        <v>57</v>
      </c>
      <c r="C44" s="5" t="s">
        <v>44</v>
      </c>
      <c r="E44" s="5" t="s">
        <v>31</v>
      </c>
      <c r="F44" s="5" t="s">
        <v>34</v>
      </c>
      <c r="G44" s="5" t="s">
        <v>45</v>
      </c>
      <c r="H44" s="5" t="s">
        <v>46</v>
      </c>
      <c r="I44" s="5" t="s">
        <v>47</v>
      </c>
      <c r="J44" s="5" t="s">
        <v>48</v>
      </c>
      <c r="K44" s="5" t="s">
        <v>49</v>
      </c>
      <c r="L44" s="5" t="s">
        <v>64</v>
      </c>
      <c r="M44" s="5" t="s">
        <v>50</v>
      </c>
      <c r="N44" s="5" t="s">
        <v>7</v>
      </c>
      <c r="O44" s="5" t="s">
        <v>68</v>
      </c>
      <c r="P44" s="5" t="s">
        <v>69</v>
      </c>
      <c r="Q44" s="5"/>
      <c r="R44" t="s">
        <v>65</v>
      </c>
      <c r="S44" s="33">
        <f aca="true" t="shared" si="0" ref="S44:AH44">VLOOKUP(S43,$L$46:$M$148,2)/$F$10</f>
        <v>0.003910056238834244</v>
      </c>
      <c r="T44" s="33">
        <f t="shared" si="0"/>
        <v>0.007745063255774284</v>
      </c>
      <c r="U44" s="33">
        <f t="shared" si="0"/>
        <v>0.018797422066921598</v>
      </c>
      <c r="V44" s="33">
        <f t="shared" si="0"/>
        <v>0.02578615821002634</v>
      </c>
      <c r="W44" s="33">
        <f t="shared" si="0"/>
        <v>0.03569565186285825</v>
      </c>
      <c r="X44" s="33">
        <f t="shared" si="0"/>
        <v>0.05066836070742476</v>
      </c>
      <c r="Y44" s="33">
        <f t="shared" si="0"/>
        <v>0.0636922200229873</v>
      </c>
      <c r="Z44" s="33">
        <f t="shared" si="0"/>
        <v>0.07474693768229694</v>
      </c>
      <c r="AA44" s="33">
        <f t="shared" si="0"/>
        <v>0.08381528962511103</v>
      </c>
      <c r="AB44" s="33">
        <f t="shared" si="0"/>
        <v>0.09593949665131489</v>
      </c>
      <c r="AC44" s="33">
        <f t="shared" si="0"/>
        <v>0.09998930892202186</v>
      </c>
      <c r="AD44" s="33">
        <f t="shared" si="0"/>
        <v>0.09670863719620151</v>
      </c>
      <c r="AE44" s="33">
        <f t="shared" si="0"/>
        <v>0.08538929802725076</v>
      </c>
      <c r="AF44" s="33">
        <f t="shared" si="0"/>
        <v>0.06606129042167289</v>
      </c>
      <c r="AG44" s="33">
        <f t="shared" si="0"/>
        <v>0.038845025268046125</v>
      </c>
      <c r="AH44" s="33">
        <f t="shared" si="0"/>
        <v>0.022329888809961382</v>
      </c>
      <c r="AI44" s="11"/>
      <c r="AM44" s="21"/>
    </row>
    <row r="45" ht="5.25" customHeight="1"/>
    <row r="46" spans="1:13" ht="15" customHeight="1">
      <c r="A46">
        <v>-1</v>
      </c>
      <c r="B46" s="2">
        <f>A46*$B$12+$B$8</f>
        <v>0.797395</v>
      </c>
      <c r="C46" s="2">
        <f>$F$8</f>
        <v>1</v>
      </c>
      <c r="E46" s="2">
        <f>C46*COS(B46)</f>
        <v>0.6985730559172009</v>
      </c>
      <c r="F46" s="2">
        <f aca="true" t="shared" si="1" ref="F46:F77">C46*SIN(B46)</f>
        <v>0.715538737977549</v>
      </c>
      <c r="G46" s="2">
        <f>(E46-$H$41)</f>
        <v>-0.005627348375782382</v>
      </c>
      <c r="H46" s="2">
        <f>(F46-$H$42)</f>
        <v>0.005537476997261037</v>
      </c>
      <c r="I46" s="2">
        <f>G46*$J$43+H46*$J$42</f>
        <v>-0.007275755963425372</v>
      </c>
      <c r="J46" s="2">
        <f>H46*$J$43-G46*$J$42</f>
        <v>-0.0030649757581905682</v>
      </c>
      <c r="K46" s="3">
        <f>I46*$M$41</f>
        <v>-3.35809278100032</v>
      </c>
      <c r="L46" s="2">
        <f>K46*10/$F$10</f>
        <v>-0.09459416284507945</v>
      </c>
      <c r="M46" s="2">
        <f>J46*$M$41</f>
        <v>-1.4146259191842259</v>
      </c>
    </row>
    <row r="47" spans="1:38" ht="14.25">
      <c r="A47">
        <v>0</v>
      </c>
      <c r="B47" s="2">
        <f>B8</f>
        <v>0.7895</v>
      </c>
      <c r="C47" s="2">
        <f aca="true" t="shared" si="2" ref="C47:C110">$F$8</f>
        <v>1</v>
      </c>
      <c r="E47" s="2">
        <f aca="true" t="shared" si="3" ref="E47:E110">C47*COS(B47)</f>
        <v>0.7042004042929833</v>
      </c>
      <c r="F47" s="2">
        <f t="shared" si="1"/>
        <v>0.7100012609802879</v>
      </c>
      <c r="G47" s="2">
        <f aca="true" t="shared" si="4" ref="G47:G110">(E47-$H$41)</f>
        <v>0</v>
      </c>
      <c r="H47" s="2">
        <f aca="true" t="shared" si="5" ref="H47:H110">(F47-$H$42)</f>
        <v>0</v>
      </c>
      <c r="I47" s="2">
        <f>G47*$J$43+H47*$J$42</f>
        <v>0</v>
      </c>
      <c r="J47" s="2">
        <f>H47*$J$43-G47*$J$42</f>
        <v>0</v>
      </c>
      <c r="K47" s="3">
        <f>I47*$M$41</f>
        <v>0</v>
      </c>
      <c r="L47" s="2">
        <f aca="true" t="shared" si="6" ref="L47:L110">K47*10/$F$10</f>
        <v>0</v>
      </c>
      <c r="M47" s="2">
        <f>J47*$M$41</f>
        <v>0</v>
      </c>
      <c r="N47">
        <f aca="true" t="shared" si="7" ref="N47:N78">IF(M47=$F$15,1,0)</f>
        <v>0</v>
      </c>
      <c r="O47">
        <f>IF(N47=1,K47,0)</f>
        <v>0</v>
      </c>
      <c r="P47">
        <f>IF(N47=1,C47,0)</f>
        <v>0</v>
      </c>
      <c r="AK47" s="25"/>
      <c r="AL47" s="25"/>
    </row>
    <row r="48" spans="1:41" ht="14.25">
      <c r="A48">
        <f aca="true" t="shared" si="8" ref="A48:A53">A47+1</f>
        <v>1</v>
      </c>
      <c r="B48" s="2">
        <f>A48*$B$12+$B$8</f>
        <v>0.781605</v>
      </c>
      <c r="C48" s="2">
        <f t="shared" si="2"/>
        <v>1</v>
      </c>
      <c r="E48" s="2">
        <f t="shared" si="3"/>
        <v>0.7097838593637543</v>
      </c>
      <c r="F48" s="2">
        <f t="shared" si="1"/>
        <v>0.7044195291065505</v>
      </c>
      <c r="G48" s="2">
        <f t="shared" si="4"/>
        <v>0.005583455070771071</v>
      </c>
      <c r="H48" s="2">
        <f t="shared" si="5"/>
        <v>-0.00558173187373745</v>
      </c>
      <c r="I48" s="2">
        <f aca="true" t="shared" si="9" ref="I48:I111">G48*$J$43+H48*$J$42</f>
        <v>0.007299726944170559</v>
      </c>
      <c r="J48" s="2">
        <f aca="true" t="shared" si="10" ref="J48:J111">H48*$J$43-G48*$J$42</f>
        <v>0.0030074387405508566</v>
      </c>
      <c r="K48" s="3">
        <f aca="true" t="shared" si="11" ref="K48:K111">I48*$M$41</f>
        <v>3.369156480469978</v>
      </c>
      <c r="L48" s="2">
        <f t="shared" si="6"/>
        <v>0.09490581635126699</v>
      </c>
      <c r="M48" s="2">
        <f aca="true" t="shared" si="12" ref="M48:M111">J48*$M$41</f>
        <v>1.3880699647861567</v>
      </c>
      <c r="N48">
        <f t="shared" si="7"/>
        <v>0</v>
      </c>
      <c r="O48">
        <f aca="true" t="shared" si="13" ref="O48:O111">IF(N48=1,K48,0)</f>
        <v>0</v>
      </c>
      <c r="P48">
        <f aca="true" t="shared" si="14" ref="P48:P111">IF(N48=1,C48,0)</f>
        <v>0</v>
      </c>
      <c r="S48" s="25">
        <v>0</v>
      </c>
      <c r="T48" s="25">
        <v>2.11</v>
      </c>
      <c r="U48" s="25">
        <v>1.56</v>
      </c>
      <c r="V48" s="25">
        <v>0</v>
      </c>
      <c r="W48" s="25">
        <v>2.41</v>
      </c>
      <c r="X48" s="25">
        <v>0</v>
      </c>
      <c r="Y48" s="26">
        <v>2.94</v>
      </c>
      <c r="Z48" s="26">
        <v>0</v>
      </c>
      <c r="AA48" s="25">
        <v>2.88</v>
      </c>
      <c r="AB48" s="25">
        <v>3.13</v>
      </c>
      <c r="AC48" s="25">
        <v>3.67</v>
      </c>
      <c r="AD48" s="25">
        <v>4.69</v>
      </c>
      <c r="AE48" s="25">
        <v>6.72</v>
      </c>
      <c r="AF48" s="25">
        <v>11.75</v>
      </c>
      <c r="AG48" s="25">
        <v>21.7</v>
      </c>
      <c r="AH48" s="25">
        <v>99.85</v>
      </c>
      <c r="AJ48" s="29" t="s">
        <v>41</v>
      </c>
      <c r="AK48" s="22"/>
      <c r="AL48" s="22"/>
      <c r="AM48" s="22"/>
      <c r="AN48" s="22"/>
      <c r="AO48" s="22"/>
    </row>
    <row r="49" spans="1:41" ht="14.25">
      <c r="A49">
        <f t="shared" si="8"/>
        <v>2</v>
      </c>
      <c r="B49" s="2">
        <f aca="true" t="shared" si="15" ref="B49:B112">A49*$B$12+$B$8</f>
        <v>0.77371</v>
      </c>
      <c r="C49" s="2">
        <f t="shared" si="2"/>
        <v>1</v>
      </c>
      <c r="E49" s="2">
        <f t="shared" si="3"/>
        <v>0.715323073108844</v>
      </c>
      <c r="F49" s="2">
        <f t="shared" si="1"/>
        <v>0.6987938902695983</v>
      </c>
      <c r="G49" s="2">
        <f t="shared" si="4"/>
        <v>0.01112266881586077</v>
      </c>
      <c r="H49" s="2">
        <f t="shared" si="5"/>
        <v>-0.011207370710689668</v>
      </c>
      <c r="I49" s="2">
        <f t="shared" si="9"/>
        <v>0.014622969871987117</v>
      </c>
      <c r="J49" s="2">
        <f t="shared" si="10"/>
        <v>0.005957153007696153</v>
      </c>
      <c r="K49" s="3">
        <f t="shared" si="11"/>
        <v>6.749166658523647</v>
      </c>
      <c r="L49" s="2">
        <f t="shared" si="6"/>
        <v>0.19011737066263795</v>
      </c>
      <c r="M49" s="2">
        <f t="shared" si="12"/>
        <v>2.7494974557998706</v>
      </c>
      <c r="N49">
        <f t="shared" si="7"/>
        <v>0</v>
      </c>
      <c r="O49">
        <f t="shared" si="13"/>
        <v>0</v>
      </c>
      <c r="P49">
        <f t="shared" si="14"/>
        <v>0</v>
      </c>
      <c r="S49" s="25">
        <f>2*S48*S$44</f>
        <v>0</v>
      </c>
      <c r="T49" s="25">
        <f aca="true" t="shared" si="16" ref="T49:AH49">2*T48*T$44</f>
        <v>0.03268416693936747</v>
      </c>
      <c r="U49" s="25">
        <f t="shared" si="16"/>
        <v>0.05864795684879539</v>
      </c>
      <c r="V49" s="25">
        <f t="shared" si="16"/>
        <v>0</v>
      </c>
      <c r="W49" s="25">
        <f t="shared" si="16"/>
        <v>0.17205304197897678</v>
      </c>
      <c r="X49" s="25">
        <f t="shared" si="16"/>
        <v>0</v>
      </c>
      <c r="Y49" s="25">
        <f t="shared" si="16"/>
        <v>0.37451025373516533</v>
      </c>
      <c r="Z49" s="25">
        <f t="shared" si="16"/>
        <v>0</v>
      </c>
      <c r="AA49" s="25">
        <f t="shared" si="16"/>
        <v>0.4827760682406395</v>
      </c>
      <c r="AB49" s="25">
        <f t="shared" si="16"/>
        <v>0.6005812490372312</v>
      </c>
      <c r="AC49" s="25">
        <f t="shared" si="16"/>
        <v>0.7339215274876404</v>
      </c>
      <c r="AD49" s="25">
        <f t="shared" si="16"/>
        <v>0.9071270169003702</v>
      </c>
      <c r="AE49" s="25">
        <f t="shared" si="16"/>
        <v>1.1476321654862502</v>
      </c>
      <c r="AF49" s="25">
        <f t="shared" si="16"/>
        <v>1.5524403249093128</v>
      </c>
      <c r="AG49" s="25">
        <f t="shared" si="16"/>
        <v>1.6858740966332018</v>
      </c>
      <c r="AH49" s="25">
        <f t="shared" si="16"/>
        <v>4.459278795349288</v>
      </c>
      <c r="AJ49" s="23">
        <f>SUM(S49:AH49)</f>
        <v>12.20752666354624</v>
      </c>
      <c r="AK49" s="22"/>
      <c r="AL49" s="22"/>
      <c r="AM49" s="22"/>
      <c r="AN49" s="22"/>
      <c r="AO49" s="22"/>
    </row>
    <row r="50" spans="1:41" ht="14.25">
      <c r="A50">
        <f t="shared" si="8"/>
        <v>3</v>
      </c>
      <c r="B50" s="2">
        <f t="shared" si="15"/>
        <v>0.765815</v>
      </c>
      <c r="C50" s="2">
        <f t="shared" si="2"/>
        <v>1</v>
      </c>
      <c r="E50" s="2">
        <f t="shared" si="3"/>
        <v>0.7208177002651756</v>
      </c>
      <c r="F50" s="2">
        <f t="shared" si="1"/>
        <v>0.693124695119445</v>
      </c>
      <c r="G50" s="2">
        <f t="shared" si="4"/>
        <v>0.016617295972192303</v>
      </c>
      <c r="H50" s="2">
        <f t="shared" si="5"/>
        <v>-0.016876565860842963</v>
      </c>
      <c r="I50" s="2">
        <f t="shared" si="9"/>
        <v>0.021969272320582673</v>
      </c>
      <c r="J50" s="2">
        <f t="shared" si="10"/>
        <v>0.00884895894367742</v>
      </c>
      <c r="K50" s="3">
        <f t="shared" si="11"/>
        <v>10.139819855756429</v>
      </c>
      <c r="L50" s="2">
        <f t="shared" si="6"/>
        <v>0.285628728331167</v>
      </c>
      <c r="M50" s="2">
        <f t="shared" si="12"/>
        <v>4.0841976143110585</v>
      </c>
      <c r="N50">
        <f t="shared" si="7"/>
        <v>0</v>
      </c>
      <c r="O50">
        <f t="shared" si="13"/>
        <v>0</v>
      </c>
      <c r="P50">
        <f t="shared" si="14"/>
        <v>0</v>
      </c>
      <c r="AJ50" s="22"/>
      <c r="AK50" s="22"/>
      <c r="AL50" s="22"/>
      <c r="AM50" s="22"/>
      <c r="AN50" s="22"/>
      <c r="AO50" s="22"/>
    </row>
    <row r="51" spans="1:41" ht="14.25">
      <c r="A51">
        <f t="shared" si="8"/>
        <v>4</v>
      </c>
      <c r="B51" s="2">
        <f t="shared" si="15"/>
        <v>0.7579199999999999</v>
      </c>
      <c r="C51" s="2">
        <f t="shared" si="2"/>
        <v>1</v>
      </c>
      <c r="E51" s="2">
        <f t="shared" si="3"/>
        <v>0.7262673983487851</v>
      </c>
      <c r="F51" s="2">
        <f t="shared" si="1"/>
        <v>0.6874122970209998</v>
      </c>
      <c r="G51" s="2">
        <f t="shared" si="4"/>
        <v>0.022066994055801814</v>
      </c>
      <c r="H51" s="2">
        <f t="shared" si="5"/>
        <v>-0.02258896395928811</v>
      </c>
      <c r="I51" s="2">
        <f t="shared" si="9"/>
        <v>0.02933817638977399</v>
      </c>
      <c r="J51" s="2">
        <f t="shared" si="10"/>
        <v>0.011682676300202696</v>
      </c>
      <c r="K51" s="3">
        <f t="shared" si="11"/>
        <v>13.540904730376834</v>
      </c>
      <c r="L51" s="2">
        <f t="shared" si="6"/>
        <v>0.3814339360669531</v>
      </c>
      <c r="M51" s="2">
        <f t="shared" si="12"/>
        <v>5.39208724752284</v>
      </c>
      <c r="N51">
        <f t="shared" si="7"/>
        <v>0</v>
      </c>
      <c r="O51">
        <f t="shared" si="13"/>
        <v>0</v>
      </c>
      <c r="P51">
        <f t="shared" si="14"/>
        <v>0</v>
      </c>
      <c r="AJ51" s="22"/>
      <c r="AK51" s="22"/>
      <c r="AL51" s="22"/>
      <c r="AM51" s="22"/>
      <c r="AN51" s="22"/>
      <c r="AO51" s="22"/>
    </row>
    <row r="52" spans="1:41" ht="14.25">
      <c r="A52">
        <f t="shared" si="8"/>
        <v>5</v>
      </c>
      <c r="B52" s="2">
        <f t="shared" si="15"/>
        <v>0.7500249999999999</v>
      </c>
      <c r="C52" s="2">
        <f t="shared" si="2"/>
        <v>1</v>
      </c>
      <c r="E52" s="2">
        <f t="shared" si="3"/>
        <v>0.7316718276761693</v>
      </c>
      <c r="F52" s="2">
        <f t="shared" si="1"/>
        <v>0.681657052032042</v>
      </c>
      <c r="G52" s="2">
        <f t="shared" si="4"/>
        <v>0.02747142338318609</v>
      </c>
      <c r="H52" s="2">
        <f t="shared" si="5"/>
        <v>-0.028344208948245964</v>
      </c>
      <c r="I52" s="2">
        <f t="shared" si="9"/>
        <v>0.036729222770603094</v>
      </c>
      <c r="J52" s="2">
        <f t="shared" si="10"/>
        <v>0.014458128449681893</v>
      </c>
      <c r="K52" s="3">
        <f t="shared" si="11"/>
        <v>16.952209290379663</v>
      </c>
      <c r="L52" s="2">
        <f t="shared" si="6"/>
        <v>0.4775270222642159</v>
      </c>
      <c r="M52" s="2">
        <f t="shared" si="12"/>
        <v>6.673084833757167</v>
      </c>
      <c r="N52">
        <f t="shared" si="7"/>
        <v>0</v>
      </c>
      <c r="O52">
        <f t="shared" si="13"/>
        <v>0</v>
      </c>
      <c r="P52">
        <f t="shared" si="14"/>
        <v>0</v>
      </c>
      <c r="S52" s="26">
        <v>0</v>
      </c>
      <c r="T52" s="26">
        <v>-0.156</v>
      </c>
      <c r="U52" s="26">
        <v>-0.104</v>
      </c>
      <c r="V52" s="26">
        <v>0</v>
      </c>
      <c r="W52" s="26">
        <v>-0.124</v>
      </c>
      <c r="X52" s="26">
        <v>0</v>
      </c>
      <c r="Y52" s="26">
        <v>-0.074</v>
      </c>
      <c r="Z52" s="26">
        <v>0</v>
      </c>
      <c r="AA52" s="26">
        <v>-0.009</v>
      </c>
      <c r="AB52" s="26">
        <v>0.045</v>
      </c>
      <c r="AC52" s="26">
        <v>0.101</v>
      </c>
      <c r="AD52" s="26">
        <v>0.17</v>
      </c>
      <c r="AE52" s="26">
        <v>0.273</v>
      </c>
      <c r="AF52" s="26">
        <v>0.477</v>
      </c>
      <c r="AG52" s="26">
        <v>0.786</v>
      </c>
      <c r="AH52" s="28">
        <v>3.026</v>
      </c>
      <c r="AJ52" s="29" t="s">
        <v>42</v>
      </c>
      <c r="AK52" s="22"/>
      <c r="AL52" s="22"/>
      <c r="AM52" s="22"/>
      <c r="AN52" s="22"/>
      <c r="AO52" s="22"/>
    </row>
    <row r="53" spans="1:41" ht="14.25">
      <c r="A53">
        <f t="shared" si="8"/>
        <v>6</v>
      </c>
      <c r="B53" s="2">
        <f t="shared" si="15"/>
        <v>0.74213</v>
      </c>
      <c r="C53" s="2">
        <f t="shared" si="2"/>
        <v>1</v>
      </c>
      <c r="E53" s="2">
        <f t="shared" si="3"/>
        <v>0.7370306513854588</v>
      </c>
      <c r="F53" s="2">
        <f t="shared" si="1"/>
        <v>0.6758593188810273</v>
      </c>
      <c r="G53" s="2">
        <f t="shared" si="4"/>
        <v>0.032830247092475506</v>
      </c>
      <c r="H53" s="2">
        <f t="shared" si="5"/>
        <v>-0.03414194209926058</v>
      </c>
      <c r="I53" s="2">
        <f t="shared" si="9"/>
        <v>0.044141950773966265</v>
      </c>
      <c r="J53" s="2">
        <f t="shared" si="10"/>
        <v>0.017175142396236413</v>
      </c>
      <c r="K53" s="3">
        <f t="shared" si="11"/>
        <v>20.373520906759595</v>
      </c>
      <c r="L53" s="2">
        <f t="shared" si="6"/>
        <v>0.5739019973735097</v>
      </c>
      <c r="M53" s="2">
        <f t="shared" si="12"/>
        <v>7.927110527536266</v>
      </c>
      <c r="N53">
        <f t="shared" si="7"/>
        <v>0</v>
      </c>
      <c r="O53">
        <f t="shared" si="13"/>
        <v>0</v>
      </c>
      <c r="P53">
        <f t="shared" si="14"/>
        <v>0</v>
      </c>
      <c r="S53" s="25">
        <f>2*S52*S$44</f>
        <v>0</v>
      </c>
      <c r="T53" s="25">
        <f aca="true" t="shared" si="17" ref="T53:AH53">2*T52*T$44</f>
        <v>-0.0024164597358015765</v>
      </c>
      <c r="U53" s="25">
        <f t="shared" si="17"/>
        <v>-0.0039098637899196926</v>
      </c>
      <c r="V53" s="25">
        <f t="shared" si="17"/>
        <v>0</v>
      </c>
      <c r="W53" s="25">
        <f t="shared" si="17"/>
        <v>-0.008852521661988846</v>
      </c>
      <c r="X53" s="25">
        <f t="shared" si="17"/>
        <v>0</v>
      </c>
      <c r="Y53" s="25">
        <f t="shared" si="17"/>
        <v>-0.00942644856340212</v>
      </c>
      <c r="Z53" s="25">
        <f t="shared" si="17"/>
        <v>0</v>
      </c>
      <c r="AA53" s="25">
        <f t="shared" si="17"/>
        <v>-0.0015086752132519984</v>
      </c>
      <c r="AB53" s="25">
        <f t="shared" si="17"/>
        <v>0.00863455469861834</v>
      </c>
      <c r="AC53" s="25">
        <f t="shared" si="17"/>
        <v>0.020197840402248417</v>
      </c>
      <c r="AD53" s="25">
        <f t="shared" si="17"/>
        <v>0.03288093664670852</v>
      </c>
      <c r="AE53" s="25">
        <f t="shared" si="17"/>
        <v>0.04662255672287892</v>
      </c>
      <c r="AF53" s="25">
        <f t="shared" si="17"/>
        <v>0.06302247106227593</v>
      </c>
      <c r="AG53" s="25">
        <f t="shared" si="17"/>
        <v>0.06106437972136851</v>
      </c>
      <c r="AH53" s="25">
        <f t="shared" si="17"/>
        <v>0.13514048707788628</v>
      </c>
      <c r="AJ53" s="23">
        <f>SUM(S53:AH53)</f>
        <v>0.3414492573676207</v>
      </c>
      <c r="AK53" s="22"/>
      <c r="AL53" s="22"/>
      <c r="AM53" s="22"/>
      <c r="AN53" s="22"/>
      <c r="AO53" s="22"/>
    </row>
    <row r="54" spans="1:41" ht="14.25">
      <c r="A54">
        <f aca="true" t="shared" si="18" ref="A54:A117">A53+1</f>
        <v>7</v>
      </c>
      <c r="B54" s="2">
        <f t="shared" si="15"/>
        <v>0.734235</v>
      </c>
      <c r="C54" s="2">
        <f t="shared" si="2"/>
        <v>1</v>
      </c>
      <c r="E54" s="2">
        <f t="shared" si="3"/>
        <v>0.7423435354574138</v>
      </c>
      <c r="F54" s="2">
        <f t="shared" si="1"/>
        <v>0.670019458944729</v>
      </c>
      <c r="G54" s="2">
        <f t="shared" si="4"/>
        <v>0.03814313116443058</v>
      </c>
      <c r="H54" s="2">
        <f t="shared" si="5"/>
        <v>-0.0399818020355589</v>
      </c>
      <c r="I54" s="2">
        <f t="shared" si="9"/>
        <v>0.05157589835932885</v>
      </c>
      <c r="J54" s="2">
        <f t="shared" si="10"/>
        <v>0.019833548786481858</v>
      </c>
      <c r="K54" s="3">
        <f t="shared" si="11"/>
        <v>23.80462632676437</v>
      </c>
      <c r="L54" s="2">
        <f t="shared" si="6"/>
        <v>0.6705528542750527</v>
      </c>
      <c r="M54" s="2">
        <f t="shared" si="12"/>
        <v>9.15408616455935</v>
      </c>
      <c r="N54">
        <f t="shared" si="7"/>
        <v>0</v>
      </c>
      <c r="O54">
        <f t="shared" si="13"/>
        <v>0</v>
      </c>
      <c r="P54">
        <f t="shared" si="14"/>
        <v>0</v>
      </c>
      <c r="AJ54" s="22"/>
      <c r="AK54" s="22"/>
      <c r="AL54" s="22"/>
      <c r="AM54" s="22"/>
      <c r="AN54" s="22"/>
      <c r="AO54" s="22"/>
    </row>
    <row r="55" spans="1:41" ht="14.25">
      <c r="A55">
        <f t="shared" si="18"/>
        <v>8</v>
      </c>
      <c r="B55" s="2">
        <f t="shared" si="15"/>
        <v>0.72634</v>
      </c>
      <c r="C55" s="2">
        <f t="shared" si="2"/>
        <v>1</v>
      </c>
      <c r="E55" s="2">
        <f t="shared" si="3"/>
        <v>0.7476101487362445</v>
      </c>
      <c r="F55" s="2">
        <f t="shared" si="1"/>
        <v>0.6641378362257118</v>
      </c>
      <c r="G55" s="2">
        <f t="shared" si="4"/>
        <v>0.04340974444326129</v>
      </c>
      <c r="H55" s="2">
        <f t="shared" si="5"/>
        <v>-0.045863424754576165</v>
      </c>
      <c r="I55" s="2">
        <f t="shared" si="9"/>
        <v>0.059030602163525</v>
      </c>
      <c r="J55" s="2">
        <f t="shared" si="10"/>
        <v>0.022433181920083495</v>
      </c>
      <c r="K55" s="3">
        <f t="shared" si="11"/>
        <v>27.24531168718719</v>
      </c>
      <c r="L55" s="2">
        <f t="shared" si="6"/>
        <v>0.7674735686531602</v>
      </c>
      <c r="M55" s="2">
        <f t="shared" si="12"/>
        <v>10.353935266574444</v>
      </c>
      <c r="N55">
        <f t="shared" si="7"/>
        <v>0</v>
      </c>
      <c r="O55">
        <f t="shared" si="13"/>
        <v>0</v>
      </c>
      <c r="P55">
        <f t="shared" si="14"/>
        <v>0</v>
      </c>
      <c r="AJ55" s="22"/>
      <c r="AK55" s="22"/>
      <c r="AL55" s="22"/>
      <c r="AM55" s="22"/>
      <c r="AN55" s="22"/>
      <c r="AO55" s="22"/>
    </row>
    <row r="56" spans="1:41" ht="14.25">
      <c r="A56">
        <f t="shared" si="18"/>
        <v>9</v>
      </c>
      <c r="B56" s="2">
        <f t="shared" si="15"/>
        <v>0.718445</v>
      </c>
      <c r="C56" s="2">
        <f t="shared" si="2"/>
        <v>1</v>
      </c>
      <c r="E56" s="2">
        <f t="shared" si="3"/>
        <v>0.7528301629502522</v>
      </c>
      <c r="F56" s="2">
        <f t="shared" si="1"/>
        <v>0.6582148173296442</v>
      </c>
      <c r="G56" s="2">
        <f t="shared" si="4"/>
        <v>0.04862975865726893</v>
      </c>
      <c r="H56" s="2">
        <f t="shared" si="5"/>
        <v>-0.051786443650643776</v>
      </c>
      <c r="I56" s="2">
        <f t="shared" si="9"/>
        <v>0.06650559752963903</v>
      </c>
      <c r="J56" s="2">
        <f t="shared" si="10"/>
        <v>0.024973879760085263</v>
      </c>
      <c r="K56" s="3">
        <f t="shared" si="11"/>
        <v>30.69536252769678</v>
      </c>
      <c r="L56" s="2">
        <f t="shared" si="6"/>
        <v>0.8646580993717402</v>
      </c>
      <c r="M56" s="2">
        <f t="shared" si="12"/>
        <v>11.526583046145694</v>
      </c>
      <c r="N56">
        <f t="shared" si="7"/>
        <v>0</v>
      </c>
      <c r="O56">
        <f t="shared" si="13"/>
        <v>0</v>
      </c>
      <c r="P56">
        <f t="shared" si="14"/>
        <v>0</v>
      </c>
      <c r="S56" s="26">
        <v>2.901</v>
      </c>
      <c r="T56" s="26">
        <v>2.091</v>
      </c>
      <c r="U56" s="26">
        <v>1.537</v>
      </c>
      <c r="V56" s="26">
        <v>1.306</v>
      </c>
      <c r="W56" s="26">
        <v>1.179</v>
      </c>
      <c r="X56" s="26">
        <v>1.049</v>
      </c>
      <c r="Y56" s="26">
        <v>0.995</v>
      </c>
      <c r="Z56" s="26">
        <v>0.98</v>
      </c>
      <c r="AA56" s="26">
        <v>0.992</v>
      </c>
      <c r="AB56" s="26">
        <v>1.083</v>
      </c>
      <c r="AC56" s="26">
        <v>1.273</v>
      </c>
      <c r="AD56" s="26">
        <v>1.624</v>
      </c>
      <c r="AE56" s="26">
        <v>2.315</v>
      </c>
      <c r="AF56" s="26">
        <v>3.979</v>
      </c>
      <c r="AG56" s="26">
        <v>10.61</v>
      </c>
      <c r="AH56" s="26">
        <v>29.21</v>
      </c>
      <c r="AJ56" s="29" t="s">
        <v>36</v>
      </c>
      <c r="AK56" s="22"/>
      <c r="AL56" s="22"/>
      <c r="AM56" s="22"/>
      <c r="AN56" s="22"/>
      <c r="AO56" s="22"/>
    </row>
    <row r="57" spans="1:41" ht="14.25">
      <c r="A57">
        <f t="shared" si="18"/>
        <v>10</v>
      </c>
      <c r="B57" s="2">
        <f t="shared" si="15"/>
        <v>0.71055</v>
      </c>
      <c r="C57" s="2">
        <f t="shared" si="2"/>
        <v>1</v>
      </c>
      <c r="E57" s="2">
        <f t="shared" si="3"/>
        <v>0.7580032527322903</v>
      </c>
      <c r="F57" s="2">
        <f t="shared" si="1"/>
        <v>0.6522507714424474</v>
      </c>
      <c r="G57" s="2">
        <f t="shared" si="4"/>
        <v>0.05380284843930705</v>
      </c>
      <c r="H57" s="2">
        <f t="shared" si="5"/>
        <v>-0.057750489537840566</v>
      </c>
      <c r="I57" s="2">
        <f t="shared" si="9"/>
        <v>0.07400041853596806</v>
      </c>
      <c r="J57" s="2">
        <f t="shared" si="10"/>
        <v>0.02745548394300913</v>
      </c>
      <c r="K57" s="3">
        <f t="shared" si="11"/>
        <v>34.15456380420496</v>
      </c>
      <c r="L57" s="2">
        <f t="shared" si="6"/>
        <v>0.962100388850844</v>
      </c>
      <c r="M57" s="2">
        <f t="shared" si="12"/>
        <v>12.67195641131468</v>
      </c>
      <c r="N57">
        <f t="shared" si="7"/>
        <v>0</v>
      </c>
      <c r="O57">
        <f t="shared" si="13"/>
        <v>0</v>
      </c>
      <c r="P57">
        <f t="shared" si="14"/>
        <v>0</v>
      </c>
      <c r="S57" s="26">
        <f>S56*(S$43)/10</f>
        <v>0.036262499999999996</v>
      </c>
      <c r="T57" s="26">
        <f aca="true" t="shared" si="19" ref="T57:AH57">T56*(T$43-S$43)/10</f>
        <v>0.0261375</v>
      </c>
      <c r="U57" s="26">
        <f t="shared" si="19"/>
        <v>0.038425</v>
      </c>
      <c r="V57" s="26">
        <f t="shared" si="19"/>
        <v>0.03265</v>
      </c>
      <c r="W57" s="26">
        <f t="shared" si="19"/>
        <v>0.029475</v>
      </c>
      <c r="X57" s="26">
        <f t="shared" si="19"/>
        <v>0.05245</v>
      </c>
      <c r="Y57" s="26">
        <f t="shared" si="19"/>
        <v>0.04975</v>
      </c>
      <c r="Z57" s="26">
        <f t="shared" si="19"/>
        <v>0.049</v>
      </c>
      <c r="AA57" s="26">
        <f t="shared" si="19"/>
        <v>0.0496</v>
      </c>
      <c r="AB57" s="26">
        <f t="shared" si="19"/>
        <v>0.1083</v>
      </c>
      <c r="AC57" s="26">
        <f t="shared" si="19"/>
        <v>0.1273</v>
      </c>
      <c r="AD57" s="26">
        <f t="shared" si="19"/>
        <v>0.16240000000000002</v>
      </c>
      <c r="AE57" s="26">
        <f t="shared" si="19"/>
        <v>0.23149999999999998</v>
      </c>
      <c r="AF57" s="26">
        <f t="shared" si="19"/>
        <v>0.39790000000000003</v>
      </c>
      <c r="AG57" s="26">
        <f t="shared" si="19"/>
        <v>1.061</v>
      </c>
      <c r="AH57" s="26">
        <f t="shared" si="19"/>
        <v>1.4605000000000001</v>
      </c>
      <c r="AJ57" s="22"/>
      <c r="AK57" s="22"/>
      <c r="AL57" s="22"/>
      <c r="AM57" s="22"/>
      <c r="AN57" s="22">
        <v>0.964</v>
      </c>
      <c r="AO57" s="31">
        <f>AH44</f>
        <v>0.022329888809961382</v>
      </c>
    </row>
    <row r="58" spans="1:41" ht="14.25">
      <c r="A58">
        <f t="shared" si="18"/>
        <v>11</v>
      </c>
      <c r="B58" s="2">
        <f t="shared" si="15"/>
        <v>0.702655</v>
      </c>
      <c r="C58" s="2">
        <f t="shared" si="2"/>
        <v>1</v>
      </c>
      <c r="E58" s="2">
        <f t="shared" si="3"/>
        <v>0.7631290956400452</v>
      </c>
      <c r="F58" s="2">
        <f t="shared" si="1"/>
        <v>0.6462460703072838</v>
      </c>
      <c r="G58" s="2">
        <f t="shared" si="4"/>
        <v>0.05892869134706191</v>
      </c>
      <c r="H58" s="2">
        <f t="shared" si="5"/>
        <v>-0.06375519067300417</v>
      </c>
      <c r="I58" s="2">
        <f t="shared" si="9"/>
        <v>0.0815145980250631</v>
      </c>
      <c r="J58" s="2">
        <f t="shared" si="10"/>
        <v>0.029877839788726126</v>
      </c>
      <c r="K58" s="3">
        <f t="shared" si="11"/>
        <v>37.62269990227044</v>
      </c>
      <c r="L58" s="2">
        <f t="shared" si="6"/>
        <v>1.0597943634442377</v>
      </c>
      <c r="M58" s="2">
        <f t="shared" si="12"/>
        <v>13.789983970156348</v>
      </c>
      <c r="N58">
        <f t="shared" si="7"/>
        <v>0</v>
      </c>
      <c r="O58">
        <f t="shared" si="13"/>
        <v>0</v>
      </c>
      <c r="P58">
        <f t="shared" si="14"/>
        <v>0</v>
      </c>
      <c r="S58" s="25">
        <f aca="true" t="shared" si="20" ref="S58:AH58">S57*S$44</f>
        <v>0.00014178841436072678</v>
      </c>
      <c r="T58" s="25">
        <f t="shared" si="20"/>
        <v>0.00020243659084780036</v>
      </c>
      <c r="U58" s="25">
        <f t="shared" si="20"/>
        <v>0.0007222909429214624</v>
      </c>
      <c r="V58" s="25">
        <f t="shared" si="20"/>
        <v>0.00084191806555736</v>
      </c>
      <c r="W58" s="25">
        <f t="shared" si="20"/>
        <v>0.001052129338657747</v>
      </c>
      <c r="X58" s="25">
        <f t="shared" si="20"/>
        <v>0.0026575555191044285</v>
      </c>
      <c r="Y58" s="25">
        <f t="shared" si="20"/>
        <v>0.003168687946143618</v>
      </c>
      <c r="Z58" s="25">
        <f t="shared" si="20"/>
        <v>0.0036625999464325503</v>
      </c>
      <c r="AA58" s="25">
        <f t="shared" si="20"/>
        <v>0.004157238365405507</v>
      </c>
      <c r="AB58" s="25">
        <f t="shared" si="20"/>
        <v>0.010390247487337401</v>
      </c>
      <c r="AC58" s="25">
        <f t="shared" si="20"/>
        <v>0.012728639025773383</v>
      </c>
      <c r="AD58" s="25">
        <f t="shared" si="20"/>
        <v>0.015705482680663126</v>
      </c>
      <c r="AE58" s="25">
        <f t="shared" si="20"/>
        <v>0.01976762249330855</v>
      </c>
      <c r="AF58" s="25">
        <f t="shared" si="20"/>
        <v>0.026285787458783644</v>
      </c>
      <c r="AG58" s="25">
        <f t="shared" si="20"/>
        <v>0.04121457180939694</v>
      </c>
      <c r="AH58" s="25">
        <f t="shared" si="20"/>
        <v>0.0326128026069486</v>
      </c>
      <c r="AJ58" s="23">
        <f>SUM(S58:AH58)</f>
        <v>0.17531179869164285</v>
      </c>
      <c r="AK58" s="22"/>
      <c r="AL58" s="22"/>
      <c r="AM58" s="22"/>
      <c r="AN58" s="22">
        <v>-0.0954</v>
      </c>
      <c r="AO58" s="22">
        <f>ABS(TAN(F24*PI()/180))</f>
        <v>0.4166184089569233</v>
      </c>
    </row>
    <row r="59" spans="1:41" ht="14.25">
      <c r="A59">
        <f t="shared" si="18"/>
        <v>12</v>
      </c>
      <c r="B59" s="2">
        <f t="shared" si="15"/>
        <v>0.69476</v>
      </c>
      <c r="C59" s="2">
        <f t="shared" si="2"/>
        <v>1</v>
      </c>
      <c r="E59" s="2">
        <f t="shared" si="3"/>
        <v>0.768207372176134</v>
      </c>
      <c r="F59" s="2">
        <f t="shared" si="1"/>
        <v>0.6402010882013859</v>
      </c>
      <c r="G59" s="2">
        <f t="shared" si="4"/>
        <v>0.06400696788315074</v>
      </c>
      <c r="H59" s="2">
        <f t="shared" si="5"/>
        <v>-0.06980017277890205</v>
      </c>
      <c r="I59" s="2">
        <f t="shared" si="9"/>
        <v>0.08904766763284734</v>
      </c>
      <c r="J59" s="2">
        <f t="shared" si="10"/>
        <v>0.03224079631009785</v>
      </c>
      <c r="K59" s="3">
        <f t="shared" si="11"/>
        <v>41.09955465053823</v>
      </c>
      <c r="L59" s="2">
        <f t="shared" si="6"/>
        <v>1.1577339338179784</v>
      </c>
      <c r="M59" s="2">
        <f t="shared" si="12"/>
        <v>14.880596035229</v>
      </c>
      <c r="N59">
        <f t="shared" si="7"/>
        <v>0</v>
      </c>
      <c r="O59">
        <f t="shared" si="13"/>
        <v>0</v>
      </c>
      <c r="P59">
        <f t="shared" si="14"/>
        <v>0</v>
      </c>
      <c r="AJ59" s="22"/>
      <c r="AK59" s="22"/>
      <c r="AL59" s="22" t="s">
        <v>52</v>
      </c>
      <c r="AM59" s="22"/>
      <c r="AN59" s="23">
        <f>AJ58+AN57*AO57+AN58*AO58</f>
        <v>0.15709241528995516</v>
      </c>
      <c r="AO59" s="22" t="s">
        <v>67</v>
      </c>
    </row>
    <row r="60" spans="1:41" ht="14.25">
      <c r="A60">
        <f t="shared" si="18"/>
        <v>13</v>
      </c>
      <c r="B60" s="2">
        <f t="shared" si="15"/>
        <v>0.686865</v>
      </c>
      <c r="C60" s="2">
        <f t="shared" si="2"/>
        <v>1</v>
      </c>
      <c r="E60" s="2">
        <f t="shared" si="3"/>
        <v>0.7732377658080193</v>
      </c>
      <c r="F60" s="2">
        <f t="shared" si="1"/>
        <v>0.6341162019127273</v>
      </c>
      <c r="G60" s="2">
        <f t="shared" si="4"/>
        <v>0.06903736151503603</v>
      </c>
      <c r="H60" s="2">
        <f t="shared" si="5"/>
        <v>-0.0758850590675606</v>
      </c>
      <c r="I60" s="2">
        <f t="shared" si="9"/>
        <v>0.09659915781780973</v>
      </c>
      <c r="J60" s="2">
        <f t="shared" si="10"/>
        <v>0.034544206222387394</v>
      </c>
      <c r="K60" s="3">
        <f t="shared" si="11"/>
        <v>44.58491133421379</v>
      </c>
      <c r="L60" s="2">
        <f t="shared" si="6"/>
        <v>1.255912995329966</v>
      </c>
      <c r="M60" s="2">
        <f t="shared" si="12"/>
        <v>15.943724627917874</v>
      </c>
      <c r="N60">
        <f t="shared" si="7"/>
        <v>0</v>
      </c>
      <c r="O60">
        <f t="shared" si="13"/>
        <v>0</v>
      </c>
      <c r="P60">
        <f t="shared" si="14"/>
        <v>0</v>
      </c>
      <c r="AJ60" s="22"/>
      <c r="AK60" s="22"/>
      <c r="AL60" s="22"/>
      <c r="AM60" s="22"/>
      <c r="AN60" s="23">
        <f>AN59*180/PI()</f>
        <v>9.000732389630834</v>
      </c>
      <c r="AO60" s="22" t="s">
        <v>54</v>
      </c>
    </row>
    <row r="61" spans="1:41" ht="14.25">
      <c r="A61">
        <f t="shared" si="18"/>
        <v>14</v>
      </c>
      <c r="B61" s="2">
        <f t="shared" si="15"/>
        <v>0.67897</v>
      </c>
      <c r="C61" s="2">
        <f t="shared" si="2"/>
        <v>1</v>
      </c>
      <c r="E61" s="2">
        <f t="shared" si="3"/>
        <v>0.7782199629877383</v>
      </c>
      <c r="F61" s="2">
        <f t="shared" si="1"/>
        <v>0.6279917907165373</v>
      </c>
      <c r="G61" s="2">
        <f t="shared" si="4"/>
        <v>0.07401955869475507</v>
      </c>
      <c r="H61" s="2">
        <f t="shared" si="5"/>
        <v>-0.0820094702637506</v>
      </c>
      <c r="I61" s="2">
        <f t="shared" si="9"/>
        <v>0.10416859789027166</v>
      </c>
      <c r="J61" s="2">
        <f t="shared" si="10"/>
        <v>0.036787925952439515</v>
      </c>
      <c r="K61" s="3">
        <f t="shared" si="11"/>
        <v>48.07855270857099</v>
      </c>
      <c r="L61" s="2">
        <f t="shared" si="6"/>
        <v>1.3543254284104504</v>
      </c>
      <c r="M61" s="2">
        <f t="shared" si="12"/>
        <v>16.9793034826722</v>
      </c>
      <c r="N61">
        <f t="shared" si="7"/>
        <v>0</v>
      </c>
      <c r="O61">
        <f t="shared" si="13"/>
        <v>0</v>
      </c>
      <c r="P61">
        <f t="shared" si="14"/>
        <v>0</v>
      </c>
      <c r="AJ61" s="22"/>
      <c r="AK61" s="22"/>
      <c r="AL61" s="22"/>
      <c r="AM61" s="22"/>
      <c r="AN61" s="22"/>
      <c r="AO61" s="22"/>
    </row>
    <row r="62" spans="1:41" ht="14.25">
      <c r="A62">
        <f t="shared" si="18"/>
        <v>15</v>
      </c>
      <c r="B62" s="2">
        <f t="shared" si="15"/>
        <v>0.671075</v>
      </c>
      <c r="C62" s="2">
        <f t="shared" si="2"/>
        <v>1</v>
      </c>
      <c r="E62" s="2">
        <f t="shared" si="3"/>
        <v>0.7831536531714471</v>
      </c>
      <c r="F62" s="2">
        <f t="shared" si="1"/>
        <v>0.6218282363516606</v>
      </c>
      <c r="G62" s="2">
        <f t="shared" si="4"/>
        <v>0.07895324887846389</v>
      </c>
      <c r="H62" s="2">
        <f t="shared" si="5"/>
        <v>-0.0881730246286273</v>
      </c>
      <c r="I62" s="2">
        <f t="shared" si="9"/>
        <v>0.11175551604172526</v>
      </c>
      <c r="J62" s="2">
        <f t="shared" si="10"/>
        <v>0.03897181564763008</v>
      </c>
      <c r="K62" s="3">
        <f t="shared" si="11"/>
        <v>51.58026101249299</v>
      </c>
      <c r="L62" s="2">
        <f t="shared" si="6"/>
        <v>1.4529650989434644</v>
      </c>
      <c r="M62" s="2">
        <f t="shared" si="12"/>
        <v>17.98726805113579</v>
      </c>
      <c r="N62">
        <f t="shared" si="7"/>
        <v>0</v>
      </c>
      <c r="O62">
        <f t="shared" si="13"/>
        <v>0</v>
      </c>
      <c r="P62">
        <f t="shared" si="14"/>
        <v>0</v>
      </c>
      <c r="AL62" s="22" t="s">
        <v>78</v>
      </c>
      <c r="AN62" s="23">
        <f>AJ58*180/PI()</f>
        <v>10.044626163878243</v>
      </c>
      <c r="AO62" s="22" t="s">
        <v>54</v>
      </c>
    </row>
    <row r="63" spans="1:16" ht="14.25">
      <c r="A63">
        <f t="shared" si="18"/>
        <v>16</v>
      </c>
      <c r="B63" s="2">
        <f t="shared" si="15"/>
        <v>0.66318</v>
      </c>
      <c r="C63" s="2">
        <f t="shared" si="2"/>
        <v>1</v>
      </c>
      <c r="E63" s="2">
        <f t="shared" si="3"/>
        <v>0.788038528838777</v>
      </c>
      <c r="F63" s="2">
        <f t="shared" si="1"/>
        <v>0.6156259229967628</v>
      </c>
      <c r="G63" s="2">
        <f t="shared" si="4"/>
        <v>0.08383812454579376</v>
      </c>
      <c r="H63" s="2">
        <f t="shared" si="5"/>
        <v>-0.09437533798352515</v>
      </c>
      <c r="I63" s="2">
        <f t="shared" si="9"/>
        <v>0.11935943937424201</v>
      </c>
      <c r="J63" s="2">
        <f t="shared" si="10"/>
        <v>0.04109573918458304</v>
      </c>
      <c r="K63" s="3">
        <f t="shared" si="11"/>
        <v>55.08981798204572</v>
      </c>
      <c r="L63" s="2">
        <f t="shared" si="6"/>
        <v>1.5518258586491753</v>
      </c>
      <c r="M63" s="2">
        <f t="shared" si="12"/>
        <v>18.9675555061703</v>
      </c>
      <c r="N63">
        <f t="shared" si="7"/>
        <v>0</v>
      </c>
      <c r="O63">
        <f t="shared" si="13"/>
        <v>0</v>
      </c>
      <c r="P63">
        <f t="shared" si="14"/>
        <v>0</v>
      </c>
    </row>
    <row r="64" spans="1:41" ht="14.25">
      <c r="A64">
        <f t="shared" si="18"/>
        <v>17</v>
      </c>
      <c r="B64" s="2">
        <f t="shared" si="15"/>
        <v>0.655285</v>
      </c>
      <c r="C64" s="2">
        <f t="shared" si="2"/>
        <v>1</v>
      </c>
      <c r="E64" s="2">
        <f t="shared" si="3"/>
        <v>0.792874285512002</v>
      </c>
      <c r="F64" s="2">
        <f t="shared" si="1"/>
        <v>0.6093852372463844</v>
      </c>
      <c r="G64" s="2">
        <f t="shared" si="4"/>
        <v>0.08867388121901876</v>
      </c>
      <c r="H64" s="2">
        <f t="shared" si="5"/>
        <v>-0.10061602373390355</v>
      </c>
      <c r="I64" s="2">
        <f t="shared" si="9"/>
        <v>0.12697989392994855</v>
      </c>
      <c r="J64" s="2">
        <f t="shared" si="10"/>
        <v>0.04315956417765482</v>
      </c>
      <c r="K64" s="3">
        <f t="shared" si="11"/>
        <v>58.6070048640823</v>
      </c>
      <c r="L64" s="2">
        <f t="shared" si="6"/>
        <v>1.650901545467107</v>
      </c>
      <c r="M64" s="2">
        <f t="shared" si="12"/>
        <v>19.920104745771173</v>
      </c>
      <c r="N64">
        <f t="shared" si="7"/>
        <v>0</v>
      </c>
      <c r="O64">
        <f t="shared" si="13"/>
        <v>0</v>
      </c>
      <c r="P64">
        <f t="shared" si="14"/>
        <v>0</v>
      </c>
      <c r="S64" s="26">
        <v>8.774</v>
      </c>
      <c r="T64" s="26">
        <v>6.085</v>
      </c>
      <c r="U64" s="26">
        <v>4.131</v>
      </c>
      <c r="V64" s="26">
        <v>3.226</v>
      </c>
      <c r="W64" s="26">
        <v>2.667</v>
      </c>
      <c r="X64" s="26">
        <v>1.96</v>
      </c>
      <c r="Y64" s="26">
        <v>1.502</v>
      </c>
      <c r="Z64" s="26">
        <v>1.156</v>
      </c>
      <c r="AA64" s="26">
        <v>0.873</v>
      </c>
      <c r="AB64" s="26">
        <v>0.408</v>
      </c>
      <c r="AC64" s="26">
        <v>0</v>
      </c>
      <c r="AD64" s="26">
        <v>-0.408</v>
      </c>
      <c r="AE64" s="26">
        <v>-0.873</v>
      </c>
      <c r="AF64" s="26">
        <v>-1.502</v>
      </c>
      <c r="AG64" s="26">
        <v>-2.667</v>
      </c>
      <c r="AH64" s="26">
        <v>-4.131</v>
      </c>
      <c r="AJ64" s="29" t="s">
        <v>37</v>
      </c>
      <c r="AK64" s="22"/>
      <c r="AL64" s="22"/>
      <c r="AM64" s="22"/>
      <c r="AN64" s="22"/>
      <c r="AO64" s="22"/>
    </row>
    <row r="65" spans="1:41" ht="14.25">
      <c r="A65">
        <f t="shared" si="18"/>
        <v>18</v>
      </c>
      <c r="B65" s="2">
        <f t="shared" si="15"/>
        <v>0.64739</v>
      </c>
      <c r="C65" s="2">
        <f t="shared" si="2"/>
        <v>1</v>
      </c>
      <c r="E65" s="2">
        <f t="shared" si="3"/>
        <v>0.797660621775018</v>
      </c>
      <c r="F65" s="2">
        <f t="shared" si="1"/>
        <v>0.6031065680868447</v>
      </c>
      <c r="G65" s="2">
        <f t="shared" si="4"/>
        <v>0.0934602174820347</v>
      </c>
      <c r="H65" s="2">
        <f t="shared" si="5"/>
        <v>-0.10689469289344322</v>
      </c>
      <c r="I65" s="2">
        <f t="shared" si="9"/>
        <v>0.13461640472056852</v>
      </c>
      <c r="J65" s="2">
        <f t="shared" si="10"/>
        <v>0.045163161987186694</v>
      </c>
      <c r="K65" s="3">
        <f t="shared" si="11"/>
        <v>62.13160242987791</v>
      </c>
      <c r="L65" s="2">
        <f t="shared" si="6"/>
        <v>1.7501859839402227</v>
      </c>
      <c r="M65" s="2">
        <f t="shared" si="12"/>
        <v>20.8448563968765</v>
      </c>
      <c r="N65">
        <f t="shared" si="7"/>
        <v>0</v>
      </c>
      <c r="O65">
        <f t="shared" si="13"/>
        <v>0</v>
      </c>
      <c r="P65">
        <f t="shared" si="14"/>
        <v>0</v>
      </c>
      <c r="S65" s="26">
        <f>S64*(S$43)/10</f>
        <v>0.109675</v>
      </c>
      <c r="T65" s="26">
        <f>T64*(T$43-S$43)/10</f>
        <v>0.0760625</v>
      </c>
      <c r="U65" s="26">
        <f>U64*(U$43-T$43)/10</f>
        <v>0.103275</v>
      </c>
      <c r="V65" s="26">
        <f>V64*(V$43-U$43)/10</f>
        <v>0.08065</v>
      </c>
      <c r="W65" s="26">
        <f>W64*(W$43-V$43)/10</f>
        <v>0.066675</v>
      </c>
      <c r="X65" s="26">
        <f>X64*(X$43-W$43)/10</f>
        <v>0.098</v>
      </c>
      <c r="Y65" s="26">
        <f>Y64*(Y$43-X$43)/10</f>
        <v>0.0751</v>
      </c>
      <c r="Z65" s="26">
        <f>Z64*(Z$43-Y$43)/10</f>
        <v>0.0578</v>
      </c>
      <c r="AA65" s="26">
        <f>AA64*(AA$43-Z$43)/10</f>
        <v>0.04365</v>
      </c>
      <c r="AB65" s="26">
        <f>AB64*(AB$43-AA$43)/10</f>
        <v>0.040799999999999996</v>
      </c>
      <c r="AC65" s="26">
        <f>AC64*(AC$43-AB$43)/10</f>
        <v>0</v>
      </c>
      <c r="AD65" s="26">
        <f>AD64*(AD$43-AC$43)/10</f>
        <v>-0.040799999999999996</v>
      </c>
      <c r="AE65" s="26">
        <f>AE64*(AE$43-AD$43)/10</f>
        <v>-0.0873</v>
      </c>
      <c r="AF65" s="26">
        <f>AF64*(AF$43-AE$43)/10</f>
        <v>-0.1502</v>
      </c>
      <c r="AG65" s="26">
        <f>AG64*(AG$43-AF$43)/10</f>
        <v>-0.2667</v>
      </c>
      <c r="AH65" s="26">
        <f>AH64*(AH$43-AG$43)/10</f>
        <v>-0.20655</v>
      </c>
      <c r="AJ65" s="22"/>
      <c r="AK65" s="22"/>
      <c r="AL65" s="22"/>
      <c r="AM65" s="22"/>
      <c r="AN65" s="22"/>
      <c r="AO65" s="22"/>
    </row>
    <row r="66" spans="1:41" ht="14.25">
      <c r="A66">
        <f t="shared" si="18"/>
        <v>19</v>
      </c>
      <c r="B66" s="2">
        <f t="shared" si="15"/>
        <v>0.6394949999999999</v>
      </c>
      <c r="C66" s="2">
        <f t="shared" si="2"/>
        <v>1</v>
      </c>
      <c r="E66" s="2">
        <f t="shared" si="3"/>
        <v>0.8023972392921289</v>
      </c>
      <c r="F66" s="2">
        <f t="shared" si="1"/>
        <v>0.596790306871995</v>
      </c>
      <c r="G66" s="2">
        <f t="shared" si="4"/>
        <v>0.09819683499914567</v>
      </c>
      <c r="H66" s="2">
        <f t="shared" si="5"/>
        <v>-0.11321095410829296</v>
      </c>
      <c r="I66" s="2">
        <f t="shared" si="9"/>
        <v>0.14226849575702952</v>
      </c>
      <c r="J66" s="2">
        <f t="shared" si="10"/>
        <v>0.04710640772752179</v>
      </c>
      <c r="K66" s="3">
        <f t="shared" si="11"/>
        <v>65.66339098879479</v>
      </c>
      <c r="L66" s="2">
        <f t="shared" si="6"/>
        <v>1.8496729855998533</v>
      </c>
      <c r="M66" s="2">
        <f t="shared" si="12"/>
        <v>21.741752819067205</v>
      </c>
      <c r="N66">
        <f t="shared" si="7"/>
        <v>0</v>
      </c>
      <c r="O66">
        <f t="shared" si="13"/>
        <v>0</v>
      </c>
      <c r="P66">
        <f t="shared" si="14"/>
        <v>0</v>
      </c>
      <c r="S66" s="25">
        <f>S65*S$44</f>
        <v>0.0004288354179941457</v>
      </c>
      <c r="T66" s="25">
        <f>T65*T$44</f>
        <v>0.0005891088738923315</v>
      </c>
      <c r="U66" s="25">
        <f>U65*U$44</f>
        <v>0.0019413037639613281</v>
      </c>
      <c r="V66" s="25">
        <f>V65*V$44</f>
        <v>0.0020796536596386244</v>
      </c>
      <c r="W66" s="25">
        <f>W65*W$44</f>
        <v>0.002380007587956074</v>
      </c>
      <c r="X66" s="25">
        <f>X65*X$44</f>
        <v>0.004965499349327627</v>
      </c>
      <c r="Y66" s="25">
        <f>Y65*Y$44</f>
        <v>0.004783285723726346</v>
      </c>
      <c r="Z66" s="25">
        <f>Z65*Z$44</f>
        <v>0.004320372998036763</v>
      </c>
      <c r="AA66" s="25">
        <f>AA65*AA$44</f>
        <v>0.003658537392136097</v>
      </c>
      <c r="AB66" s="25">
        <f>AB65*AB$44</f>
        <v>0.003914331463373647</v>
      </c>
      <c r="AC66" s="25">
        <f>AC65*AC$44</f>
        <v>0</v>
      </c>
      <c r="AD66" s="25">
        <f>AD65*AD$44</f>
        <v>-0.0039457123976050215</v>
      </c>
      <c r="AE66" s="25">
        <f>AE65*AE$44</f>
        <v>-0.007454485717778992</v>
      </c>
      <c r="AF66" s="25">
        <f>AF65*AF$44</f>
        <v>-0.009922405821335268</v>
      </c>
      <c r="AG66" s="25">
        <f>AG65*AG$44</f>
        <v>-0.010359968238987901</v>
      </c>
      <c r="AH66" s="25">
        <f>AH65*AH$44</f>
        <v>-0.004612238533697524</v>
      </c>
      <c r="AJ66" s="23">
        <f>SUM(S66:AH66)</f>
        <v>-0.007233874479361721</v>
      </c>
      <c r="AK66" s="22"/>
      <c r="AL66" s="22" t="s">
        <v>66</v>
      </c>
      <c r="AM66" s="22"/>
      <c r="AN66" s="30"/>
      <c r="AO66" s="22"/>
    </row>
    <row r="67" spans="1:41" ht="14.25">
      <c r="A67">
        <f t="shared" si="18"/>
        <v>20</v>
      </c>
      <c r="B67" s="2">
        <f t="shared" si="15"/>
        <v>0.6315999999999999</v>
      </c>
      <c r="C67" s="2">
        <f t="shared" si="2"/>
        <v>1</v>
      </c>
      <c r="E67" s="2">
        <f t="shared" si="3"/>
        <v>0.8070838428266437</v>
      </c>
      <c r="F67" s="2">
        <f t="shared" si="1"/>
        <v>0.5904368472988263</v>
      </c>
      <c r="G67" s="2">
        <f t="shared" si="4"/>
        <v>0.10288343853366044</v>
      </c>
      <c r="H67" s="2">
        <f t="shared" si="5"/>
        <v>-0.11956441368146165</v>
      </c>
      <c r="I67" s="2">
        <f t="shared" si="9"/>
        <v>0.14993569007913105</v>
      </c>
      <c r="J67" s="2">
        <f t="shared" si="10"/>
        <v>0.04898918027479073</v>
      </c>
      <c r="K67" s="3">
        <f t="shared" si="11"/>
        <v>69.2021504019753</v>
      </c>
      <c r="L67" s="2">
        <f t="shared" si="6"/>
        <v>1.949356349351417</v>
      </c>
      <c r="M67" s="2">
        <f t="shared" si="12"/>
        <v>22.610738108160493</v>
      </c>
      <c r="N67">
        <f t="shared" si="7"/>
        <v>0</v>
      </c>
      <c r="O67">
        <f t="shared" si="13"/>
        <v>0</v>
      </c>
      <c r="P67">
        <f t="shared" si="14"/>
        <v>0</v>
      </c>
      <c r="AJ67" s="22"/>
      <c r="AK67" s="22"/>
      <c r="AL67" s="22" t="s">
        <v>51</v>
      </c>
      <c r="AM67" s="22"/>
      <c r="AN67" s="23">
        <f>2*AJ66-PI()*AN59/2</f>
        <v>-0.26122793786352344</v>
      </c>
      <c r="AO67" s="22"/>
    </row>
    <row r="68" spans="1:41" ht="14.25">
      <c r="A68">
        <f t="shared" si="18"/>
        <v>21</v>
      </c>
      <c r="B68" s="2">
        <f t="shared" si="15"/>
        <v>0.623705</v>
      </c>
      <c r="C68" s="2">
        <f t="shared" si="2"/>
        <v>1</v>
      </c>
      <c r="E68" s="2">
        <f t="shared" si="3"/>
        <v>0.8117201402592775</v>
      </c>
      <c r="F68" s="2">
        <f t="shared" si="1"/>
        <v>0.5840465853829289</v>
      </c>
      <c r="G68" s="2">
        <f t="shared" si="4"/>
        <v>0.10751973596629427</v>
      </c>
      <c r="H68" s="2">
        <f t="shared" si="5"/>
        <v>-0.12595467559735907</v>
      </c>
      <c r="I68" s="2">
        <f t="shared" si="9"/>
        <v>0.15761750978527467</v>
      </c>
      <c r="J68" s="2">
        <f t="shared" si="10"/>
        <v>0.05081136227446022</v>
      </c>
      <c r="K68" s="3">
        <f t="shared" si="11"/>
        <v>72.7476600960638</v>
      </c>
      <c r="L68" s="2">
        <f t="shared" si="6"/>
        <v>2.049229861860952</v>
      </c>
      <c r="M68" s="2">
        <f t="shared" si="12"/>
        <v>23.45175809969386</v>
      </c>
      <c r="N68">
        <f t="shared" si="7"/>
        <v>0</v>
      </c>
      <c r="O68">
        <f t="shared" si="13"/>
        <v>0</v>
      </c>
      <c r="P68">
        <f t="shared" si="14"/>
        <v>0</v>
      </c>
      <c r="AJ68" s="22"/>
      <c r="AK68" s="22"/>
      <c r="AL68" s="22"/>
      <c r="AM68" s="22"/>
      <c r="AN68" s="22"/>
      <c r="AO68" s="22"/>
    </row>
    <row r="69" spans="1:41" ht="14.25">
      <c r="A69">
        <f t="shared" si="18"/>
        <v>22</v>
      </c>
      <c r="B69" s="2">
        <f t="shared" si="15"/>
        <v>0.61581</v>
      </c>
      <c r="C69" s="2">
        <f t="shared" si="2"/>
        <v>1</v>
      </c>
      <c r="E69" s="2">
        <f t="shared" si="3"/>
        <v>0.8163058426063603</v>
      </c>
      <c r="F69" s="2">
        <f t="shared" si="1"/>
        <v>0.5776199194338091</v>
      </c>
      <c r="G69" s="2">
        <f t="shared" si="4"/>
        <v>0.11210543831337705</v>
      </c>
      <c r="H69" s="2">
        <f t="shared" si="5"/>
        <v>-0.13238134154647885</v>
      </c>
      <c r="I69" s="2">
        <f t="shared" si="9"/>
        <v>0.16531347606225127</v>
      </c>
      <c r="J69" s="2">
        <f t="shared" si="10"/>
        <v>0.052572840148648485</v>
      </c>
      <c r="K69" s="3">
        <f t="shared" si="11"/>
        <v>76.2996990769548</v>
      </c>
      <c r="L69" s="2">
        <f t="shared" si="6"/>
        <v>2.1492872979423883</v>
      </c>
      <c r="M69" s="2">
        <f t="shared" si="12"/>
        <v>24.2647603723015</v>
      </c>
      <c r="N69">
        <f t="shared" si="7"/>
        <v>0</v>
      </c>
      <c r="O69">
        <f t="shared" si="13"/>
        <v>0</v>
      </c>
      <c r="P69">
        <f t="shared" si="14"/>
        <v>0</v>
      </c>
      <c r="S69" s="27">
        <v>113.15</v>
      </c>
      <c r="T69" s="26">
        <v>39.73</v>
      </c>
      <c r="U69" s="26">
        <v>13.84</v>
      </c>
      <c r="V69" s="26">
        <v>7.403</v>
      </c>
      <c r="W69" s="26">
        <v>4.716</v>
      </c>
      <c r="X69" s="26">
        <v>2.447</v>
      </c>
      <c r="Y69" s="26">
        <v>1.492</v>
      </c>
      <c r="Z69" s="26">
        <v>0.98</v>
      </c>
      <c r="AA69" s="26">
        <v>0.662</v>
      </c>
      <c r="AB69" s="26">
        <v>0.271</v>
      </c>
      <c r="AC69" s="26">
        <v>0</v>
      </c>
      <c r="AD69" s="26">
        <v>-0.271</v>
      </c>
      <c r="AE69" s="26">
        <v>-0.662</v>
      </c>
      <c r="AF69" s="26">
        <v>-1.492</v>
      </c>
      <c r="AG69" s="26">
        <v>-4.716</v>
      </c>
      <c r="AH69" s="26">
        <v>-13.84</v>
      </c>
      <c r="AJ69" s="29" t="s">
        <v>38</v>
      </c>
      <c r="AK69" s="22"/>
      <c r="AL69" s="22"/>
      <c r="AM69" s="22"/>
      <c r="AN69" s="22"/>
      <c r="AO69" s="22"/>
    </row>
    <row r="70" spans="1:41" ht="14.25">
      <c r="A70">
        <f t="shared" si="18"/>
        <v>23</v>
      </c>
      <c r="B70" s="2">
        <f t="shared" si="15"/>
        <v>0.607915</v>
      </c>
      <c r="C70" s="2">
        <f t="shared" si="2"/>
        <v>1</v>
      </c>
      <c r="E70" s="2">
        <f t="shared" si="3"/>
        <v>0.820840664037849</v>
      </c>
      <c r="F70" s="2">
        <f t="shared" si="1"/>
        <v>0.5711572500300621</v>
      </c>
      <c r="G70" s="2">
        <f t="shared" si="4"/>
        <v>0.1166402597448658</v>
      </c>
      <c r="H70" s="2">
        <f t="shared" si="5"/>
        <v>-0.1388440109502258</v>
      </c>
      <c r="I70" s="2">
        <f t="shared" si="9"/>
        <v>0.17302310921508618</v>
      </c>
      <c r="J70" s="2">
        <f t="shared" si="10"/>
        <v>0.0542735041032044</v>
      </c>
      <c r="K70" s="3">
        <f t="shared" si="11"/>
        <v>79.85804594356782</v>
      </c>
      <c r="L70" s="2">
        <f t="shared" si="6"/>
        <v>2.2495224209455724</v>
      </c>
      <c r="M70" s="2">
        <f t="shared" si="12"/>
        <v>25.04969425098164</v>
      </c>
      <c r="N70">
        <f t="shared" si="7"/>
        <v>0</v>
      </c>
      <c r="O70">
        <f t="shared" si="13"/>
        <v>0</v>
      </c>
      <c r="P70">
        <f t="shared" si="14"/>
        <v>0</v>
      </c>
      <c r="S70" s="26">
        <f>S69*(S$43)/10</f>
        <v>1.4143750000000002</v>
      </c>
      <c r="T70" s="26">
        <f>T69*(T$43-S$43)/10</f>
        <v>0.496625</v>
      </c>
      <c r="U70" s="26">
        <f>U69*(U$43-T$43)/10</f>
        <v>0.346</v>
      </c>
      <c r="V70" s="26">
        <f>V69*(V$43-U$43)/10</f>
        <v>0.185075</v>
      </c>
      <c r="W70" s="26">
        <f>W69*(W$43-V$43)/10</f>
        <v>0.1179</v>
      </c>
      <c r="X70" s="26">
        <f>X69*(X$43-W$43)/10</f>
        <v>0.12235</v>
      </c>
      <c r="Y70" s="26">
        <f>Y69*(Y$43-X$43)/10</f>
        <v>0.0746</v>
      </c>
      <c r="Z70" s="26">
        <f>Z69*(Z$43-Y$43)/10</f>
        <v>0.049</v>
      </c>
      <c r="AA70" s="26">
        <f>AA69*(AA$43-Z$43)/10</f>
        <v>0.033100000000000004</v>
      </c>
      <c r="AB70" s="26">
        <f>AB69*(AB$43-AA$43)/10</f>
        <v>0.027100000000000003</v>
      </c>
      <c r="AC70" s="26">
        <f>AC69*(AC$43-AB$43)/10</f>
        <v>0</v>
      </c>
      <c r="AD70" s="26">
        <f>AD69*(AD$43-AC$43)/10</f>
        <v>-0.027100000000000003</v>
      </c>
      <c r="AE70" s="26">
        <f>AE69*(AE$43-AD$43)/10</f>
        <v>-0.06620000000000001</v>
      </c>
      <c r="AF70" s="26">
        <f>AF69*(AF$43-AE$43)/10</f>
        <v>-0.1492</v>
      </c>
      <c r="AG70" s="26">
        <f>AG69*(AG$43-AF$43)/10</f>
        <v>-0.4716</v>
      </c>
      <c r="AH70" s="26">
        <f>AH69*(AH$43-AG$43)/10</f>
        <v>-0.692</v>
      </c>
      <c r="AJ70" s="22"/>
      <c r="AK70" s="22"/>
      <c r="AL70" s="22">
        <v>0.467</v>
      </c>
      <c r="AM70" s="31">
        <f>U44</f>
        <v>0.018797422066921598</v>
      </c>
      <c r="AN70" s="22">
        <v>-0.467</v>
      </c>
      <c r="AO70" s="31">
        <f>AH44</f>
        <v>0.022329888809961382</v>
      </c>
    </row>
    <row r="71" spans="1:41" ht="14.25">
      <c r="A71">
        <f t="shared" si="18"/>
        <v>24</v>
      </c>
      <c r="B71" s="2">
        <f t="shared" si="15"/>
        <v>0.60002</v>
      </c>
      <c r="C71" s="2">
        <f t="shared" si="2"/>
        <v>1</v>
      </c>
      <c r="E71" s="2">
        <f t="shared" si="3"/>
        <v>0.825324321895144</v>
      </c>
      <c r="F71" s="2">
        <f t="shared" si="1"/>
        <v>0.564658979994404</v>
      </c>
      <c r="G71" s="2">
        <f t="shared" si="4"/>
        <v>0.12112391760216079</v>
      </c>
      <c r="H71" s="2">
        <f t="shared" si="5"/>
        <v>-0.14534228098588398</v>
      </c>
      <c r="I71" s="2">
        <f t="shared" si="9"/>
        <v>0.18074592869693853</v>
      </c>
      <c r="J71" s="2">
        <f t="shared" si="10"/>
        <v>0.0559132481345512</v>
      </c>
      <c r="K71" s="3">
        <f t="shared" si="11"/>
        <v>83.42247890164734</v>
      </c>
      <c r="L71" s="2">
        <f t="shared" si="6"/>
        <v>2.3499289831449954</v>
      </c>
      <c r="M71" s="2">
        <f t="shared" si="12"/>
        <v>25.806510810255254</v>
      </c>
      <c r="N71">
        <f t="shared" si="7"/>
        <v>0</v>
      </c>
      <c r="O71">
        <f t="shared" si="13"/>
        <v>0</v>
      </c>
      <c r="P71">
        <f t="shared" si="14"/>
        <v>0</v>
      </c>
      <c r="S71" s="25">
        <f>S70*S$44</f>
        <v>0.005530285792801185</v>
      </c>
      <c r="T71" s="25">
        <f>T70*T$44</f>
        <v>0.0038463920393989035</v>
      </c>
      <c r="U71" s="25">
        <f>U70*U$44</f>
        <v>0.006503908035154872</v>
      </c>
      <c r="V71" s="25">
        <f>V70*V$44</f>
        <v>0.004772373230720625</v>
      </c>
      <c r="W71" s="25">
        <f>W70*W$44</f>
        <v>0.004208517354630988</v>
      </c>
      <c r="X71" s="25">
        <f>X70*X$44</f>
        <v>0.00619927393255342</v>
      </c>
      <c r="Y71" s="25">
        <f>Y70*Y$44</f>
        <v>0.004751439613714853</v>
      </c>
      <c r="Z71" s="25">
        <f>Z70*Z$44</f>
        <v>0.0036625999464325503</v>
      </c>
      <c r="AA71" s="25">
        <f>AA70*AA$44</f>
        <v>0.0027742860865911756</v>
      </c>
      <c r="AB71" s="25">
        <f>AB70*AB$44</f>
        <v>0.0025999603592506337</v>
      </c>
      <c r="AC71" s="25">
        <f>AC70*AC$44</f>
        <v>0</v>
      </c>
      <c r="AD71" s="25">
        <f>AD70*AD$44</f>
        <v>-0.002620804068017061</v>
      </c>
      <c r="AE71" s="25">
        <f>AE70*AE$44</f>
        <v>-0.005652771529404001</v>
      </c>
      <c r="AF71" s="25">
        <f>AF70*AF$44</f>
        <v>-0.009856344530913594</v>
      </c>
      <c r="AG71" s="25">
        <f>AG70*AG$44</f>
        <v>-0.018319313916410552</v>
      </c>
      <c r="AH71" s="25">
        <f>AH70*AH$44</f>
        <v>-0.015452283056493274</v>
      </c>
      <c r="AJ71" s="23">
        <f>SUM(U71:AH71)</f>
        <v>-0.01642915854218937</v>
      </c>
      <c r="AK71" s="22"/>
      <c r="AL71" s="22">
        <v>0.0472</v>
      </c>
      <c r="AM71" s="31">
        <f>ABS(TAN(F23*PI()/180))</f>
        <v>0.41661840895692176</v>
      </c>
      <c r="AN71" s="22">
        <v>0.0472</v>
      </c>
      <c r="AO71" s="31">
        <f>ABS(TAN(F24*PI()/180))</f>
        <v>0.4166184089569233</v>
      </c>
    </row>
    <row r="72" spans="1:41" ht="14.25">
      <c r="A72">
        <f t="shared" si="18"/>
        <v>25</v>
      </c>
      <c r="B72" s="2">
        <f t="shared" si="15"/>
        <v>0.592125</v>
      </c>
      <c r="C72" s="2">
        <f t="shared" si="2"/>
        <v>1</v>
      </c>
      <c r="E72" s="2">
        <f t="shared" si="3"/>
        <v>0.8297565367087067</v>
      </c>
      <c r="F72" s="2">
        <f t="shared" si="1"/>
        <v>0.5581255143685626</v>
      </c>
      <c r="G72" s="2">
        <f t="shared" si="4"/>
        <v>0.1255561324157235</v>
      </c>
      <c r="H72" s="2">
        <f t="shared" si="5"/>
        <v>-0.15187574661172532</v>
      </c>
      <c r="I72" s="2">
        <f t="shared" si="9"/>
        <v>0.18848145313905457</v>
      </c>
      <c r="J72" s="2">
        <f t="shared" si="10"/>
        <v>0.0574919700362934</v>
      </c>
      <c r="K72" s="3">
        <f t="shared" si="11"/>
        <v>86.99277577758761</v>
      </c>
      <c r="L72" s="2">
        <f t="shared" si="6"/>
        <v>2.4505007261292286</v>
      </c>
      <c r="M72" s="2">
        <f t="shared" si="12"/>
        <v>26.535162877215413</v>
      </c>
      <c r="N72">
        <f t="shared" si="7"/>
        <v>0</v>
      </c>
      <c r="O72">
        <f t="shared" si="13"/>
        <v>0</v>
      </c>
      <c r="P72">
        <f t="shared" si="14"/>
        <v>0</v>
      </c>
      <c r="AJ72" s="22"/>
      <c r="AK72" s="22"/>
      <c r="AL72" s="22" t="s">
        <v>53</v>
      </c>
      <c r="AM72" s="22"/>
      <c r="AN72" s="31">
        <f>AJ71+AN70*AO70+AN71*AO71+AL70*AM70+AL71*AM71</f>
        <v>0.021249957294344538</v>
      </c>
      <c r="AO72" s="22" t="s">
        <v>67</v>
      </c>
    </row>
    <row r="73" spans="1:41" ht="14.25">
      <c r="A73">
        <f t="shared" si="18"/>
        <v>26</v>
      </c>
      <c r="B73" s="2">
        <f t="shared" si="15"/>
        <v>0.58423</v>
      </c>
      <c r="C73" s="2">
        <f t="shared" si="2"/>
        <v>1</v>
      </c>
      <c r="E73" s="2">
        <f t="shared" si="3"/>
        <v>0.83413703221548</v>
      </c>
      <c r="F73" s="2">
        <f t="shared" si="1"/>
        <v>0.551557260388032</v>
      </c>
      <c r="G73" s="2">
        <f t="shared" si="4"/>
        <v>0.12993662792249672</v>
      </c>
      <c r="H73" s="2">
        <f t="shared" si="5"/>
        <v>-0.15844400059225594</v>
      </c>
      <c r="I73" s="2">
        <f t="shared" si="9"/>
        <v>0.19622920038077152</v>
      </c>
      <c r="J73" s="2">
        <f t="shared" si="10"/>
        <v>0.05900957140558793</v>
      </c>
      <c r="K73" s="3">
        <f t="shared" si="11"/>
        <v>90.56871403228078</v>
      </c>
      <c r="L73" s="2">
        <f t="shared" si="6"/>
        <v>2.551231381191008</v>
      </c>
      <c r="M73" s="2">
        <f t="shared" si="12"/>
        <v>27.235605034467877</v>
      </c>
      <c r="N73">
        <f t="shared" si="7"/>
        <v>0</v>
      </c>
      <c r="O73">
        <f t="shared" si="13"/>
        <v>0</v>
      </c>
      <c r="P73">
        <f t="shared" si="14"/>
        <v>0</v>
      </c>
      <c r="AJ73" s="22"/>
      <c r="AK73" s="22"/>
      <c r="AL73" s="22"/>
      <c r="AM73" s="22"/>
      <c r="AN73" s="30">
        <f>AN72*180/PI()</f>
        <v>1.21753286779918</v>
      </c>
      <c r="AO73" s="22" t="s">
        <v>54</v>
      </c>
    </row>
    <row r="74" spans="1:41" ht="14.25">
      <c r="A74">
        <f t="shared" si="18"/>
        <v>27</v>
      </c>
      <c r="B74" s="2">
        <f t="shared" si="15"/>
        <v>0.576335</v>
      </c>
      <c r="C74" s="2">
        <f t="shared" si="2"/>
        <v>1</v>
      </c>
      <c r="E74" s="2">
        <f t="shared" si="3"/>
        <v>0.8384655353761069</v>
      </c>
      <c r="F74" s="2">
        <f t="shared" si="1"/>
        <v>0.5449546274566888</v>
      </c>
      <c r="G74" s="2">
        <f t="shared" si="4"/>
        <v>0.13426513108312366</v>
      </c>
      <c r="H74" s="2">
        <f t="shared" si="5"/>
        <v>-0.16504663352359916</v>
      </c>
      <c r="I74" s="2">
        <f t="shared" si="9"/>
        <v>0.2039886874995705</v>
      </c>
      <c r="J74" s="2">
        <f t="shared" si="10"/>
        <v>0.060465957649277174</v>
      </c>
      <c r="K74" s="3">
        <f t="shared" si="11"/>
        <v>94.15007077498774</v>
      </c>
      <c r="L74" s="2">
        <f t="shared" si="6"/>
        <v>2.6521146697179643</v>
      </c>
      <c r="M74" s="2">
        <f t="shared" si="12"/>
        <v>27.907793622961783</v>
      </c>
      <c r="N74">
        <f t="shared" si="7"/>
        <v>0</v>
      </c>
      <c r="O74">
        <f t="shared" si="13"/>
        <v>0</v>
      </c>
      <c r="P74">
        <f t="shared" si="14"/>
        <v>0</v>
      </c>
      <c r="AJ74" s="22"/>
      <c r="AK74" s="22"/>
      <c r="AL74" s="22" t="s">
        <v>55</v>
      </c>
      <c r="AM74" s="22"/>
      <c r="AN74" s="23">
        <f>2*PI()*(AN72+AN59)</f>
        <v>1.1205581750692193</v>
      </c>
      <c r="AO74" s="22"/>
    </row>
    <row r="75" spans="1:37" ht="14.25">
      <c r="A75">
        <f t="shared" si="18"/>
        <v>28</v>
      </c>
      <c r="B75" s="2">
        <f t="shared" si="15"/>
        <v>0.5684400000000001</v>
      </c>
      <c r="C75" s="2">
        <f t="shared" si="2"/>
        <v>1</v>
      </c>
      <c r="E75" s="2">
        <f t="shared" si="3"/>
        <v>0.8427417763919502</v>
      </c>
      <c r="F75" s="2">
        <f t="shared" si="1"/>
        <v>0.5383180271212734</v>
      </c>
      <c r="G75" s="2">
        <f t="shared" si="4"/>
        <v>0.138541372098967</v>
      </c>
      <c r="H75" s="2">
        <f t="shared" si="5"/>
        <v>-0.17168323385901452</v>
      </c>
      <c r="I75" s="2">
        <f t="shared" si="9"/>
        <v>0.21175943084117843</v>
      </c>
      <c r="J75" s="2">
        <f t="shared" si="10"/>
        <v>0.06186103798978529</v>
      </c>
      <c r="K75" s="3">
        <f t="shared" si="11"/>
        <v>97.73662277723146</v>
      </c>
      <c r="L75" s="2">
        <f t="shared" si="6"/>
        <v>2.753144303583985</v>
      </c>
      <c r="M75" s="2">
        <f t="shared" si="12"/>
        <v>28.551686744711045</v>
      </c>
      <c r="N75">
        <f t="shared" si="7"/>
        <v>0</v>
      </c>
      <c r="O75">
        <f t="shared" si="13"/>
        <v>0</v>
      </c>
      <c r="P75">
        <f t="shared" si="14"/>
        <v>0</v>
      </c>
      <c r="AJ75" s="22"/>
      <c r="AK75" s="22"/>
    </row>
    <row r="76" spans="1:41" ht="14.25">
      <c r="A76">
        <f t="shared" si="18"/>
        <v>29</v>
      </c>
      <c r="B76" s="2">
        <f t="shared" si="15"/>
        <v>0.5605450000000001</v>
      </c>
      <c r="C76" s="2">
        <f t="shared" si="2"/>
        <v>1</v>
      </c>
      <c r="E76" s="2">
        <f t="shared" si="3"/>
        <v>0.8469654887219089</v>
      </c>
      <c r="F76" s="2">
        <f t="shared" si="1"/>
        <v>0.5316478730457388</v>
      </c>
      <c r="G76" s="2">
        <f t="shared" si="4"/>
        <v>0.14276508442892566</v>
      </c>
      <c r="H76" s="2">
        <f t="shared" si="5"/>
        <v>-0.17835338793454913</v>
      </c>
      <c r="I76" s="2">
        <f t="shared" si="9"/>
        <v>0.21954094604971358</v>
      </c>
      <c r="J76" s="2">
        <f t="shared" si="10"/>
        <v>0.06319472547077647</v>
      </c>
      <c r="K76" s="3">
        <f t="shared" si="11"/>
        <v>101.32814648671055</v>
      </c>
      <c r="L76" s="2">
        <f t="shared" si="6"/>
        <v>2.8543139855411424</v>
      </c>
      <c r="M76" s="2">
        <f t="shared" si="12"/>
        <v>29.167244265405905</v>
      </c>
      <c r="N76">
        <f t="shared" si="7"/>
        <v>0</v>
      </c>
      <c r="O76">
        <f t="shared" si="13"/>
        <v>0</v>
      </c>
      <c r="P76">
        <f t="shared" si="14"/>
        <v>0</v>
      </c>
      <c r="AJ76" s="22"/>
      <c r="AK76" s="22"/>
      <c r="AL76" s="22" t="s">
        <v>56</v>
      </c>
      <c r="AM76" s="22"/>
      <c r="AN76" s="23">
        <f>SUM(S71:AH71)</f>
        <v>-0.007052480709989274</v>
      </c>
      <c r="AO76" s="22" t="s">
        <v>67</v>
      </c>
    </row>
    <row r="77" spans="1:41" ht="14.25">
      <c r="A77">
        <f t="shared" si="18"/>
        <v>30</v>
      </c>
      <c r="B77" s="2">
        <f t="shared" si="15"/>
        <v>0.55265</v>
      </c>
      <c r="C77" s="2">
        <f t="shared" si="2"/>
        <v>1</v>
      </c>
      <c r="E77" s="2">
        <f t="shared" si="3"/>
        <v>0.8511364090990315</v>
      </c>
      <c r="F77" s="2">
        <f t="shared" si="1"/>
        <v>0.5249445809854656</v>
      </c>
      <c r="G77" s="2">
        <f t="shared" si="4"/>
        <v>0.1469360048060483</v>
      </c>
      <c r="H77" s="2">
        <f t="shared" si="5"/>
        <v>-0.18505667999482234</v>
      </c>
      <c r="I77" s="2">
        <f t="shared" si="9"/>
        <v>0.22733274809787643</v>
      </c>
      <c r="J77" s="2">
        <f t="shared" si="10"/>
        <v>0.06446693696257472</v>
      </c>
      <c r="K77" s="3">
        <f t="shared" si="11"/>
        <v>104.92441804123374</v>
      </c>
      <c r="L77" s="2">
        <f t="shared" si="6"/>
        <v>2.9556174096122176</v>
      </c>
      <c r="M77" s="2">
        <f t="shared" si="12"/>
        <v>29.75442781691442</v>
      </c>
      <c r="N77">
        <f t="shared" si="7"/>
        <v>0</v>
      </c>
      <c r="O77">
        <f t="shared" si="13"/>
        <v>0</v>
      </c>
      <c r="P77">
        <f t="shared" si="14"/>
        <v>0</v>
      </c>
      <c r="AJ77" s="22"/>
      <c r="AK77" s="22"/>
      <c r="AN77" s="23">
        <f>AN76*180/PI()</f>
        <v>-0.40407737977981173</v>
      </c>
      <c r="AO77" s="22" t="s">
        <v>54</v>
      </c>
    </row>
    <row r="78" spans="1:39" ht="14.25">
      <c r="A78">
        <f t="shared" si="18"/>
        <v>31</v>
      </c>
      <c r="B78" s="2">
        <f t="shared" si="15"/>
        <v>0.544755</v>
      </c>
      <c r="C78" s="2">
        <f t="shared" si="2"/>
        <v>1</v>
      </c>
      <c r="E78" s="2">
        <f t="shared" si="3"/>
        <v>0.8552542775469261</v>
      </c>
      <c r="F78" s="2">
        <f aca="true" t="shared" si="21" ref="F78:F109">C78*SIN(B78)</f>
        <v>0.5182085687613488</v>
      </c>
      <c r="G78" s="2">
        <f t="shared" si="4"/>
        <v>0.15105387325394282</v>
      </c>
      <c r="H78" s="2">
        <f t="shared" si="5"/>
        <v>-0.19179269221893913</v>
      </c>
      <c r="I78" s="2">
        <f t="shared" si="9"/>
        <v>0.23513435131718116</v>
      </c>
      <c r="J78" s="2">
        <f t="shared" si="10"/>
        <v>0.06567759316734556</v>
      </c>
      <c r="K78" s="3">
        <f t="shared" si="11"/>
        <v>108.52521328267309</v>
      </c>
      <c r="L78" s="2">
        <f t="shared" si="6"/>
        <v>3.0570482614837493</v>
      </c>
      <c r="M78" s="2">
        <f t="shared" si="12"/>
        <v>30.31320079967403</v>
      </c>
      <c r="N78">
        <f t="shared" si="7"/>
        <v>0</v>
      </c>
      <c r="O78">
        <f t="shared" si="13"/>
        <v>0</v>
      </c>
      <c r="P78">
        <f t="shared" si="14"/>
        <v>0</v>
      </c>
      <c r="AJ78" s="22"/>
      <c r="AK78" s="22"/>
      <c r="AL78" s="22"/>
      <c r="AM78" s="22"/>
    </row>
    <row r="79" spans="1:38" ht="14.25">
      <c r="A79">
        <f t="shared" si="18"/>
        <v>32</v>
      </c>
      <c r="B79" s="2">
        <f t="shared" si="15"/>
        <v>0.53686</v>
      </c>
      <c r="C79" s="2">
        <f t="shared" si="2"/>
        <v>1</v>
      </c>
      <c r="E79" s="2">
        <f t="shared" si="3"/>
        <v>0.8593188373959646</v>
      </c>
      <c r="F79" s="2">
        <f t="shared" si="21"/>
        <v>0.5114402562337538</v>
      </c>
      <c r="G79" s="2">
        <f t="shared" si="4"/>
        <v>0.15511843310298135</v>
      </c>
      <c r="H79" s="2">
        <f t="shared" si="5"/>
        <v>-0.19856100474653415</v>
      </c>
      <c r="I79" s="2">
        <f t="shared" si="9"/>
        <v>0.24294526942822844</v>
      </c>
      <c r="J79" s="2">
        <f t="shared" si="10"/>
        <v>0.06682661862403885</v>
      </c>
      <c r="K79" s="3">
        <f t="shared" si="11"/>
        <v>112.13030777093624</v>
      </c>
      <c r="L79" s="2">
        <f t="shared" si="6"/>
        <v>3.1586002188996125</v>
      </c>
      <c r="M79" s="2">
        <f t="shared" si="12"/>
        <v>30.843528384972913</v>
      </c>
      <c r="N79">
        <f aca="true" t="shared" si="22" ref="N79:N110">IF(M79=$F$15,1,0)</f>
        <v>0</v>
      </c>
      <c r="O79">
        <f t="shared" si="13"/>
        <v>0</v>
      </c>
      <c r="P79">
        <f t="shared" si="14"/>
        <v>0</v>
      </c>
      <c r="AK79" s="25"/>
      <c r="AL79" s="25"/>
    </row>
    <row r="80" spans="1:38" ht="14.25">
      <c r="A80">
        <f t="shared" si="18"/>
        <v>33</v>
      </c>
      <c r="B80" s="2">
        <f t="shared" si="15"/>
        <v>0.528965</v>
      </c>
      <c r="C80" s="2">
        <f t="shared" si="2"/>
        <v>1</v>
      </c>
      <c r="E80" s="2">
        <f t="shared" si="3"/>
        <v>0.8633298352992815</v>
      </c>
      <c r="F80" s="2">
        <f t="shared" si="21"/>
        <v>0.5046400652763466</v>
      </c>
      <c r="G80" s="2">
        <f t="shared" si="4"/>
        <v>0.15912943100629828</v>
      </c>
      <c r="H80" s="2">
        <f t="shared" si="5"/>
        <v>-0.2053611957039413</v>
      </c>
      <c r="I80" s="2">
        <f t="shared" si="9"/>
        <v>0.25076501557101505</v>
      </c>
      <c r="J80" s="2">
        <f t="shared" si="10"/>
        <v>0.06791394171309222</v>
      </c>
      <c r="K80" s="3">
        <f t="shared" si="11"/>
        <v>115.73947679795567</v>
      </c>
      <c r="L80" s="2">
        <f t="shared" si="6"/>
        <v>3.2602669520550895</v>
      </c>
      <c r="M80" s="2">
        <f t="shared" si="12"/>
        <v>31.345377517120834</v>
      </c>
      <c r="N80">
        <f t="shared" si="22"/>
        <v>0</v>
      </c>
      <c r="O80">
        <f t="shared" si="13"/>
        <v>0</v>
      </c>
      <c r="P80">
        <f t="shared" si="14"/>
        <v>0</v>
      </c>
      <c r="AK80" s="25"/>
      <c r="AL80" s="25"/>
    </row>
    <row r="81" spans="1:38" ht="14.25">
      <c r="A81">
        <f t="shared" si="18"/>
        <v>34</v>
      </c>
      <c r="B81" s="2">
        <f t="shared" si="15"/>
        <v>0.52107</v>
      </c>
      <c r="C81" s="2">
        <f t="shared" si="2"/>
        <v>1</v>
      </c>
      <c r="E81" s="2">
        <f t="shared" si="3"/>
        <v>0.8672870212485649</v>
      </c>
      <c r="F81" s="2">
        <f t="shared" si="21"/>
        <v>0.4978084197497981</v>
      </c>
      <c r="G81" s="2">
        <f t="shared" si="4"/>
        <v>0.1630866169555817</v>
      </c>
      <c r="H81" s="2">
        <f t="shared" si="5"/>
        <v>-0.21219284123048981</v>
      </c>
      <c r="I81" s="2">
        <f t="shared" si="9"/>
        <v>0.2585931023352806</v>
      </c>
      <c r="J81" s="2">
        <f t="shared" si="10"/>
        <v>0.0689394946608949</v>
      </c>
      <c r="K81" s="3">
        <f t="shared" si="11"/>
        <v>119.35249540169515</v>
      </c>
      <c r="L81" s="2">
        <f t="shared" si="6"/>
        <v>3.362042123991413</v>
      </c>
      <c r="M81" s="2">
        <f t="shared" si="12"/>
        <v>31.8187169155094</v>
      </c>
      <c r="N81">
        <f t="shared" si="22"/>
        <v>0</v>
      </c>
      <c r="O81">
        <f t="shared" si="13"/>
        <v>0</v>
      </c>
      <c r="P81">
        <f t="shared" si="14"/>
        <v>0</v>
      </c>
      <c r="AK81" s="25"/>
      <c r="AL81" s="25"/>
    </row>
    <row r="82" spans="1:38" ht="14.25">
      <c r="A82">
        <f t="shared" si="18"/>
        <v>35</v>
      </c>
      <c r="B82" s="2">
        <f t="shared" si="15"/>
        <v>0.5131749999999999</v>
      </c>
      <c r="C82" s="2">
        <f t="shared" si="2"/>
        <v>1</v>
      </c>
      <c r="E82" s="2">
        <f t="shared" si="3"/>
        <v>0.8711901485896397</v>
      </c>
      <c r="F82" s="2">
        <f t="shared" si="21"/>
        <v>0.4909457454753645</v>
      </c>
      <c r="G82" s="2">
        <f t="shared" si="4"/>
        <v>0.16698974429665647</v>
      </c>
      <c r="H82" s="2">
        <f t="shared" si="5"/>
        <v>-0.21905551550492341</v>
      </c>
      <c r="I82" s="2">
        <f t="shared" si="9"/>
        <v>0.2664290417908878</v>
      </c>
      <c r="J82" s="2">
        <f t="shared" si="10"/>
        <v>0.06990321354401266</v>
      </c>
      <c r="K82" s="3">
        <f t="shared" si="11"/>
        <v>122.96913838017153</v>
      </c>
      <c r="L82" s="2">
        <f t="shared" si="6"/>
        <v>3.4639193909907475</v>
      </c>
      <c r="M82" s="2">
        <f t="shared" si="12"/>
        <v>32.26351707656206</v>
      </c>
      <c r="N82">
        <f t="shared" si="22"/>
        <v>0</v>
      </c>
      <c r="O82">
        <f t="shared" si="13"/>
        <v>0</v>
      </c>
      <c r="P82">
        <f t="shared" si="14"/>
        <v>0</v>
      </c>
      <c r="AK82" s="25"/>
      <c r="AL82" s="25"/>
    </row>
    <row r="83" spans="1:38" ht="14.25">
      <c r="A83">
        <f t="shared" si="18"/>
        <v>36</v>
      </c>
      <c r="B83" s="2">
        <f t="shared" si="15"/>
        <v>0.50528</v>
      </c>
      <c r="C83" s="2">
        <f t="shared" si="2"/>
        <v>1</v>
      </c>
      <c r="E83" s="2">
        <f t="shared" si="3"/>
        <v>0.8750389740378416</v>
      </c>
      <c r="F83" s="2">
        <f t="shared" si="21"/>
        <v>0.48405247020834596</v>
      </c>
      <c r="G83" s="2">
        <f t="shared" si="4"/>
        <v>0.17083856974485834</v>
      </c>
      <c r="H83" s="2">
        <f t="shared" si="5"/>
        <v>-0.22594879077194197</v>
      </c>
      <c r="I83" s="2">
        <f t="shared" si="9"/>
        <v>0.27427234551823504</v>
      </c>
      <c r="J83" s="2">
        <f t="shared" si="10"/>
        <v>0.07080503829317167</v>
      </c>
      <c r="K83" s="3">
        <f t="shared" si="11"/>
        <v>126.58918030549165</v>
      </c>
      <c r="L83" s="2">
        <f t="shared" si="6"/>
        <v>3.5658924029715964</v>
      </c>
      <c r="M83" s="2">
        <f t="shared" si="12"/>
        <v>32.679750275572836</v>
      </c>
      <c r="N83">
        <f t="shared" si="22"/>
        <v>0</v>
      </c>
      <c r="O83">
        <f t="shared" si="13"/>
        <v>0</v>
      </c>
      <c r="P83">
        <f t="shared" si="14"/>
        <v>0</v>
      </c>
      <c r="AK83" s="25"/>
      <c r="AL83" s="25"/>
    </row>
    <row r="84" spans="1:38" ht="14.25">
      <c r="A84">
        <f t="shared" si="18"/>
        <v>37</v>
      </c>
      <c r="B84" s="2">
        <f t="shared" si="15"/>
        <v>0.497385</v>
      </c>
      <c r="C84" s="2">
        <f t="shared" si="2"/>
        <v>1</v>
      </c>
      <c r="E84" s="2">
        <f t="shared" si="3"/>
        <v>0.8788332576931813</v>
      </c>
      <c r="F84" s="2">
        <f t="shared" si="21"/>
        <v>0.4771290236114235</v>
      </c>
      <c r="G84" s="2">
        <f t="shared" si="4"/>
        <v>0.17463285340019807</v>
      </c>
      <c r="H84" s="2">
        <f t="shared" si="5"/>
        <v>-0.23287223736886442</v>
      </c>
      <c r="I84" s="2">
        <f t="shared" si="9"/>
        <v>0.28212252463870136</v>
      </c>
      <c r="J84" s="2">
        <f t="shared" si="10"/>
        <v>0.07164491269700281</v>
      </c>
      <c r="K84" s="3">
        <f t="shared" si="11"/>
        <v>130.21239553790394</v>
      </c>
      <c r="L84" s="2">
        <f t="shared" si="6"/>
        <v>3.6679548038846184</v>
      </c>
      <c r="M84" s="2">
        <f t="shared" si="12"/>
        <v>33.06739056843451</v>
      </c>
      <c r="N84">
        <f t="shared" si="22"/>
        <v>0</v>
      </c>
      <c r="O84">
        <f t="shared" si="13"/>
        <v>0</v>
      </c>
      <c r="P84">
        <f t="shared" si="14"/>
        <v>0</v>
      </c>
      <c r="AK84" s="25"/>
      <c r="AL84" s="25"/>
    </row>
    <row r="85" spans="1:38" ht="14.25">
      <c r="A85">
        <f t="shared" si="18"/>
        <v>38</v>
      </c>
      <c r="B85" s="2">
        <f t="shared" si="15"/>
        <v>0.48949</v>
      </c>
      <c r="C85" s="2">
        <f t="shared" si="2"/>
        <v>1</v>
      </c>
      <c r="E85" s="2">
        <f t="shared" si="3"/>
        <v>0.8825727630552982</v>
      </c>
      <c r="F85" s="2">
        <f t="shared" si="21"/>
        <v>0.4701758372278785</v>
      </c>
      <c r="G85" s="2">
        <f t="shared" si="4"/>
        <v>0.17837235876231494</v>
      </c>
      <c r="H85" s="2">
        <f t="shared" si="5"/>
        <v>-0.23982542375240945</v>
      </c>
      <c r="I85" s="2">
        <f t="shared" si="9"/>
        <v>0.2899790898451173</v>
      </c>
      <c r="J85" s="2">
        <f t="shared" si="10"/>
        <v>0.07242278440554566</v>
      </c>
      <c r="K85" s="3">
        <f t="shared" si="11"/>
        <v>133.83855823986224</v>
      </c>
      <c r="L85" s="2">
        <f t="shared" si="6"/>
        <v>3.770100232108795</v>
      </c>
      <c r="M85" s="2">
        <f t="shared" si="12"/>
        <v>33.42641379325586</v>
      </c>
      <c r="N85">
        <f t="shared" si="22"/>
        <v>0</v>
      </c>
      <c r="O85">
        <f t="shared" si="13"/>
        <v>0</v>
      </c>
      <c r="P85">
        <f t="shared" si="14"/>
        <v>0</v>
      </c>
      <c r="AK85" s="25"/>
      <c r="AL85" s="25"/>
    </row>
    <row r="86" spans="1:38" ht="14.25">
      <c r="A86">
        <f t="shared" si="18"/>
        <v>39</v>
      </c>
      <c r="B86" s="2">
        <f t="shared" si="15"/>
        <v>0.481595</v>
      </c>
      <c r="C86" s="2">
        <f t="shared" si="2"/>
        <v>1</v>
      </c>
      <c r="E86" s="2">
        <f t="shared" si="3"/>
        <v>0.8862572570382006</v>
      </c>
      <c r="F86" s="2">
        <f t="shared" si="21"/>
        <v>0.4631933444546941</v>
      </c>
      <c r="G86" s="2">
        <f t="shared" si="4"/>
        <v>0.18205685274521732</v>
      </c>
      <c r="H86" s="2">
        <f t="shared" si="5"/>
        <v>-0.2468079165255938</v>
      </c>
      <c r="I86" s="2">
        <f t="shared" si="9"/>
        <v>0.29784155143226404</v>
      </c>
      <c r="J86" s="2">
        <f t="shared" si="10"/>
        <v>0.0731386049335111</v>
      </c>
      <c r="K86" s="3">
        <f t="shared" si="11"/>
        <v>137.4674423901024</v>
      </c>
      <c r="L86" s="2">
        <f t="shared" si="6"/>
        <v>3.872322320847955</v>
      </c>
      <c r="M86" s="2">
        <f t="shared" si="12"/>
        <v>33.75679757186749</v>
      </c>
      <c r="N86">
        <f t="shared" si="22"/>
        <v>0</v>
      </c>
      <c r="O86">
        <f t="shared" si="13"/>
        <v>0</v>
      </c>
      <c r="P86">
        <f t="shared" si="14"/>
        <v>0</v>
      </c>
      <c r="AK86" s="25"/>
      <c r="AL86" s="25"/>
    </row>
    <row r="87" spans="1:38" ht="14.25">
      <c r="A87">
        <f t="shared" si="18"/>
        <v>40</v>
      </c>
      <c r="B87" s="2">
        <f t="shared" si="15"/>
        <v>0.4737</v>
      </c>
      <c r="C87" s="2">
        <f t="shared" si="2"/>
        <v>1</v>
      </c>
      <c r="E87" s="2">
        <f t="shared" si="3"/>
        <v>0.8898865099847948</v>
      </c>
      <c r="F87" s="2">
        <f t="shared" si="21"/>
        <v>0.45618198051554126</v>
      </c>
      <c r="G87" s="2">
        <f t="shared" si="4"/>
        <v>0.18568610569181154</v>
      </c>
      <c r="H87" s="2">
        <f t="shared" si="5"/>
        <v>-0.25381928046474667</v>
      </c>
      <c r="I87" s="2">
        <f t="shared" si="9"/>
        <v>0.30570941932739765</v>
      </c>
      <c r="J87" s="2">
        <f t="shared" si="10"/>
        <v>0.07379232966330361</v>
      </c>
      <c r="K87" s="3">
        <f t="shared" si="11"/>
        <v>141.0988217977308</v>
      </c>
      <c r="L87" s="2">
        <f t="shared" si="6"/>
        <v>3.9746146985276285</v>
      </c>
      <c r="M87" s="2">
        <f t="shared" si="12"/>
        <v>34.058521311216786</v>
      </c>
      <c r="N87">
        <f t="shared" si="22"/>
        <v>0</v>
      </c>
      <c r="O87">
        <f t="shared" si="13"/>
        <v>0</v>
      </c>
      <c r="P87">
        <f t="shared" si="14"/>
        <v>0</v>
      </c>
      <c r="AK87" s="25"/>
      <c r="AL87" s="25"/>
    </row>
    <row r="88" spans="1:38" ht="14.25">
      <c r="A88">
        <f t="shared" si="18"/>
        <v>41</v>
      </c>
      <c r="B88" s="2">
        <f t="shared" si="15"/>
        <v>0.465805</v>
      </c>
      <c r="C88" s="2">
        <f t="shared" si="2"/>
        <v>1</v>
      </c>
      <c r="E88" s="2">
        <f t="shared" si="3"/>
        <v>0.8934602956811999</v>
      </c>
      <c r="F88" s="2">
        <f t="shared" si="21"/>
        <v>0.4491421824336509</v>
      </c>
      <c r="G88" s="2">
        <f t="shared" si="4"/>
        <v>0.18925989138821664</v>
      </c>
      <c r="H88" s="2">
        <f t="shared" si="5"/>
        <v>-0.26085907854663704</v>
      </c>
      <c r="I88" s="2">
        <f t="shared" si="9"/>
        <v>0.3135822031207949</v>
      </c>
      <c r="J88" s="2">
        <f t="shared" si="10"/>
        <v>0.07438391784780254</v>
      </c>
      <c r="K88" s="3">
        <f t="shared" si="11"/>
        <v>144.73247011632242</v>
      </c>
      <c r="L88" s="2">
        <f t="shared" si="6"/>
        <v>4.076970989192181</v>
      </c>
      <c r="M88" s="2">
        <f t="shared" si="12"/>
        <v>34.331566204651565</v>
      </c>
      <c r="N88">
        <f t="shared" si="22"/>
        <v>0</v>
      </c>
      <c r="O88">
        <f t="shared" si="13"/>
        <v>0</v>
      </c>
      <c r="P88">
        <f t="shared" si="14"/>
        <v>0</v>
      </c>
      <c r="AK88" s="25"/>
      <c r="AL88" s="25"/>
    </row>
    <row r="89" spans="1:38" ht="14.25">
      <c r="A89">
        <f t="shared" si="18"/>
        <v>42</v>
      </c>
      <c r="B89" s="2">
        <f t="shared" si="15"/>
        <v>0.45791000000000004</v>
      </c>
      <c r="C89" s="2">
        <f t="shared" si="2"/>
        <v>1</v>
      </c>
      <c r="E89" s="2">
        <f t="shared" si="3"/>
        <v>0.8969783913708471</v>
      </c>
      <c r="F89" s="2">
        <f t="shared" si="21"/>
        <v>0.4420743890045741</v>
      </c>
      <c r="G89" s="2">
        <f t="shared" si="4"/>
        <v>0.19277798707786387</v>
      </c>
      <c r="H89" s="2">
        <f t="shared" si="5"/>
        <v>-0.26792687197571385</v>
      </c>
      <c r="I89" s="2">
        <f t="shared" si="9"/>
        <v>0.3214594120963211</v>
      </c>
      <c r="J89" s="2">
        <f t="shared" si="10"/>
        <v>0.07491333261290134</v>
      </c>
      <c r="K89" s="3">
        <f t="shared" si="11"/>
        <v>148.36816085802948</v>
      </c>
      <c r="L89" s="2">
        <f t="shared" si="6"/>
        <v>4.179384812902239</v>
      </c>
      <c r="M89" s="2">
        <f t="shared" si="12"/>
        <v>34.575915233092076</v>
      </c>
      <c r="N89">
        <f t="shared" si="22"/>
        <v>0</v>
      </c>
      <c r="O89">
        <f t="shared" si="13"/>
        <v>0</v>
      </c>
      <c r="P89">
        <f t="shared" si="14"/>
        <v>0</v>
      </c>
      <c r="AK89" s="25"/>
      <c r="AL89" s="25"/>
    </row>
    <row r="90" spans="1:38" ht="14.25">
      <c r="A90">
        <f t="shared" si="18"/>
        <v>43</v>
      </c>
      <c r="B90" s="2">
        <f t="shared" si="15"/>
        <v>0.450015</v>
      </c>
      <c r="C90" s="2">
        <f t="shared" si="2"/>
        <v>1</v>
      </c>
      <c r="E90" s="2">
        <f t="shared" si="3"/>
        <v>0.9004405777683652</v>
      </c>
      <c r="F90" s="2">
        <f t="shared" si="21"/>
        <v>0.43497904076883137</v>
      </c>
      <c r="G90" s="2">
        <f t="shared" si="4"/>
        <v>0.19624017347538192</v>
      </c>
      <c r="H90" s="2">
        <f t="shared" si="5"/>
        <v>-0.27502222021145656</v>
      </c>
      <c r="I90" s="2">
        <f t="shared" si="9"/>
        <v>0.3293405552620172</v>
      </c>
      <c r="J90" s="2">
        <f t="shared" si="10"/>
        <v>0.07538054095980647</v>
      </c>
      <c r="K90" s="3">
        <f t="shared" si="11"/>
        <v>152.00566740769864</v>
      </c>
      <c r="L90" s="2">
        <f t="shared" si="6"/>
        <v>4.281849786132356</v>
      </c>
      <c r="M90" s="2">
        <f t="shared" si="12"/>
        <v>34.79155316609204</v>
      </c>
      <c r="N90">
        <f t="shared" si="22"/>
        <v>0</v>
      </c>
      <c r="O90">
        <f t="shared" si="13"/>
        <v>0</v>
      </c>
      <c r="P90">
        <f t="shared" si="14"/>
        <v>0</v>
      </c>
      <c r="AK90" s="25"/>
      <c r="AL90" s="25"/>
    </row>
    <row r="91" spans="1:38" ht="14.25">
      <c r="A91">
        <f t="shared" si="18"/>
        <v>44</v>
      </c>
      <c r="B91" s="2">
        <f t="shared" si="15"/>
        <v>0.44212</v>
      </c>
      <c r="C91" s="2">
        <f t="shared" si="2"/>
        <v>1</v>
      </c>
      <c r="E91" s="2">
        <f t="shared" si="3"/>
        <v>0.9038466390732482</v>
      </c>
      <c r="F91" s="2">
        <f t="shared" si="21"/>
        <v>0.4278565799844539</v>
      </c>
      <c r="G91" s="2">
        <f t="shared" si="4"/>
        <v>0.199646234780265</v>
      </c>
      <c r="H91" s="2">
        <f t="shared" si="5"/>
        <v>-0.282144680995834</v>
      </c>
      <c r="I91" s="2">
        <f t="shared" si="9"/>
        <v>0.33722514138070314</v>
      </c>
      <c r="J91" s="2">
        <f t="shared" si="10"/>
        <v>0.0757855137670942</v>
      </c>
      <c r="K91" s="3">
        <f t="shared" si="11"/>
        <v>155.64476303699587</v>
      </c>
      <c r="L91" s="2">
        <f t="shared" si="6"/>
        <v>4.384359522168897</v>
      </c>
      <c r="M91" s="2">
        <f t="shared" si="12"/>
        <v>34.97846656278795</v>
      </c>
      <c r="N91">
        <f t="shared" si="22"/>
        <v>0</v>
      </c>
      <c r="O91">
        <f t="shared" si="13"/>
        <v>0</v>
      </c>
      <c r="P91">
        <f t="shared" si="14"/>
        <v>0</v>
      </c>
      <c r="AK91" s="25"/>
      <c r="AL91" s="25"/>
    </row>
    <row r="92" spans="1:38" ht="14.25">
      <c r="A92">
        <f t="shared" si="18"/>
        <v>45</v>
      </c>
      <c r="B92" s="2">
        <f t="shared" si="15"/>
        <v>0.434225</v>
      </c>
      <c r="C92" s="2">
        <f t="shared" si="2"/>
        <v>1</v>
      </c>
      <c r="E92" s="2">
        <f t="shared" si="3"/>
        <v>0.9071963629833065</v>
      </c>
      <c r="F92" s="2">
        <f t="shared" si="21"/>
        <v>0.4207074505994169</v>
      </c>
      <c r="G92" s="2">
        <f t="shared" si="4"/>
        <v>0.20299595869032327</v>
      </c>
      <c r="H92" s="2">
        <f t="shared" si="5"/>
        <v>-0.28929381038087104</v>
      </c>
      <c r="I92" s="2">
        <f t="shared" si="9"/>
        <v>0.345112679000597</v>
      </c>
      <c r="J92" s="2">
        <f t="shared" si="10"/>
        <v>0.07612822579252528</v>
      </c>
      <c r="K92" s="3">
        <f t="shared" si="11"/>
        <v>159.28522091853867</v>
      </c>
      <c r="L92" s="2">
        <f t="shared" si="6"/>
        <v>4.4869076315081315</v>
      </c>
      <c r="M92" s="2">
        <f t="shared" si="12"/>
        <v>35.13664377273663</v>
      </c>
      <c r="N92">
        <f t="shared" si="22"/>
        <v>0</v>
      </c>
      <c r="O92">
        <f t="shared" si="13"/>
        <v>0</v>
      </c>
      <c r="P92">
        <f t="shared" si="14"/>
        <v>0</v>
      </c>
      <c r="AK92" s="25"/>
      <c r="AL92" s="25"/>
    </row>
    <row r="93" spans="1:38" ht="14.25">
      <c r="A93">
        <f t="shared" si="18"/>
        <v>46</v>
      </c>
      <c r="B93" s="2">
        <f t="shared" si="15"/>
        <v>0.42633</v>
      </c>
      <c r="C93" s="2">
        <f t="shared" si="2"/>
        <v>1</v>
      </c>
      <c r="E93" s="2">
        <f t="shared" si="3"/>
        <v>0.9104895407078999</v>
      </c>
      <c r="F93" s="2">
        <f t="shared" si="21"/>
        <v>0.4135320982239681</v>
      </c>
      <c r="G93" s="2">
        <f t="shared" si="4"/>
        <v>0.20628913641491664</v>
      </c>
      <c r="H93" s="2">
        <f t="shared" si="5"/>
        <v>-0.29646916275631985</v>
      </c>
      <c r="I93" s="2">
        <f t="shared" si="9"/>
        <v>0.353002676485948</v>
      </c>
      <c r="J93" s="2">
        <f t="shared" si="10"/>
        <v>0.07640865567461891</v>
      </c>
      <c r="K93" s="3">
        <f t="shared" si="11"/>
        <v>162.92681414003454</v>
      </c>
      <c r="L93" s="2">
        <f t="shared" si="6"/>
        <v>4.5894877222544945</v>
      </c>
      <c r="M93" s="2">
        <f t="shared" si="12"/>
        <v>35.2660749366417</v>
      </c>
      <c r="N93">
        <f t="shared" si="22"/>
        <v>0</v>
      </c>
      <c r="O93">
        <f t="shared" si="13"/>
        <v>0</v>
      </c>
      <c r="P93">
        <f t="shared" si="14"/>
        <v>0</v>
      </c>
      <c r="AK93" s="25"/>
      <c r="AL93" s="25"/>
    </row>
    <row r="94" spans="1:38" ht="14.25">
      <c r="A94">
        <f t="shared" si="18"/>
        <v>47</v>
      </c>
      <c r="B94" s="2">
        <f t="shared" si="15"/>
        <v>0.418435</v>
      </c>
      <c r="C94" s="2">
        <f t="shared" si="2"/>
        <v>1</v>
      </c>
      <c r="E94" s="2">
        <f t="shared" si="3"/>
        <v>0.9137259669809513</v>
      </c>
      <c r="F94" s="2">
        <f t="shared" si="21"/>
        <v>0.40633097010285274</v>
      </c>
      <c r="G94" s="2">
        <f t="shared" si="4"/>
        <v>0.20952556268796807</v>
      </c>
      <c r="H94" s="2">
        <f t="shared" si="5"/>
        <v>-0.3036702908774352</v>
      </c>
      <c r="I94" s="2">
        <f t="shared" si="9"/>
        <v>0.36089464204768007</v>
      </c>
      <c r="J94" s="2">
        <f t="shared" si="10"/>
        <v>0.07662678593398385</v>
      </c>
      <c r="K94" s="3">
        <f t="shared" si="11"/>
        <v>166.5693157184243</v>
      </c>
      <c r="L94" s="2">
        <f t="shared" si="6"/>
        <v>4.692093400518994</v>
      </c>
      <c r="M94" s="2">
        <f t="shared" si="12"/>
        <v>35.36675198696793</v>
      </c>
      <c r="N94">
        <f t="shared" si="22"/>
        <v>0</v>
      </c>
      <c r="O94">
        <f t="shared" si="13"/>
        <v>0</v>
      </c>
      <c r="P94">
        <f t="shared" si="14"/>
        <v>0</v>
      </c>
      <c r="AK94" s="25"/>
      <c r="AL94" s="25"/>
    </row>
    <row r="95" spans="1:38" ht="14.25">
      <c r="A95">
        <f t="shared" si="18"/>
        <v>48</v>
      </c>
      <c r="B95" s="2">
        <f t="shared" si="15"/>
        <v>0.41054</v>
      </c>
      <c r="C95" s="2">
        <f t="shared" si="2"/>
        <v>1</v>
      </c>
      <c r="E95" s="2">
        <f t="shared" si="3"/>
        <v>0.9169054400737419</v>
      </c>
      <c r="F95" s="2">
        <f t="shared" si="21"/>
        <v>0.39910451508743633</v>
      </c>
      <c r="G95" s="2">
        <f t="shared" si="4"/>
        <v>0.2127050357807586</v>
      </c>
      <c r="H95" s="2">
        <f t="shared" si="5"/>
        <v>-0.3108967458928516</v>
      </c>
      <c r="I95" s="2">
        <f t="shared" si="9"/>
        <v>0.36878808377404565</v>
      </c>
      <c r="J95" s="2">
        <f t="shared" si="10"/>
        <v>0.07678260297440814</v>
      </c>
      <c r="K95" s="3">
        <f t="shared" si="11"/>
        <v>170.21249861403032</v>
      </c>
      <c r="L95" s="2">
        <f t="shared" si="6"/>
        <v>4.794718270817755</v>
      </c>
      <c r="M95" s="2">
        <f t="shared" si="12"/>
        <v>35.43866864844421</v>
      </c>
      <c r="N95">
        <f t="shared" si="22"/>
        <v>0</v>
      </c>
      <c r="O95">
        <f t="shared" si="13"/>
        <v>0</v>
      </c>
      <c r="P95">
        <f t="shared" si="14"/>
        <v>0</v>
      </c>
      <c r="AK95" s="25"/>
      <c r="AL95" s="25"/>
    </row>
    <row r="96" spans="1:38" ht="14.25">
      <c r="A96">
        <f t="shared" si="18"/>
        <v>49</v>
      </c>
      <c r="B96" s="2">
        <f t="shared" si="15"/>
        <v>0.40264500000000003</v>
      </c>
      <c r="C96" s="2">
        <f t="shared" si="2"/>
        <v>1</v>
      </c>
      <c r="E96" s="2">
        <f t="shared" si="3"/>
        <v>0.920027761807484</v>
      </c>
      <c r="F96" s="2">
        <f t="shared" si="21"/>
        <v>0.3918531836077275</v>
      </c>
      <c r="G96" s="2">
        <f t="shared" si="4"/>
        <v>0.21582735751450077</v>
      </c>
      <c r="H96" s="2">
        <f t="shared" si="5"/>
        <v>-0.31814807737256046</v>
      </c>
      <c r="I96" s="2">
        <f t="shared" si="9"/>
        <v>0.37668250966128675</v>
      </c>
      <c r="J96" s="2">
        <f t="shared" si="10"/>
        <v>0.07687609708370642</v>
      </c>
      <c r="K96" s="3">
        <f t="shared" si="11"/>
        <v>173.856135744708</v>
      </c>
      <c r="L96" s="2">
        <f t="shared" si="6"/>
        <v>4.897355936470648</v>
      </c>
      <c r="M96" s="2">
        <f t="shared" si="12"/>
        <v>35.4818204384546</v>
      </c>
      <c r="N96">
        <f t="shared" si="22"/>
        <v>0</v>
      </c>
      <c r="O96">
        <f t="shared" si="13"/>
        <v>0</v>
      </c>
      <c r="P96">
        <f t="shared" si="14"/>
        <v>0</v>
      </c>
      <c r="AK96" s="25"/>
      <c r="AL96" s="25"/>
    </row>
    <row r="97" spans="1:38" ht="14.25">
      <c r="A97">
        <f t="shared" si="18"/>
        <v>50</v>
      </c>
      <c r="B97" s="2">
        <f t="shared" si="15"/>
        <v>0.39475000000000005</v>
      </c>
      <c r="C97" s="2">
        <f t="shared" si="2"/>
        <v>1</v>
      </c>
      <c r="E97" s="2">
        <f t="shared" si="3"/>
        <v>0.9230927375656747</v>
      </c>
      <c r="F97" s="2">
        <f t="shared" si="21"/>
        <v>0.3845774276443021</v>
      </c>
      <c r="G97" s="2">
        <f t="shared" si="4"/>
        <v>0.21889233327269142</v>
      </c>
      <c r="H97" s="2">
        <f t="shared" si="5"/>
        <v>-0.32542383333598585</v>
      </c>
      <c r="I97" s="2">
        <f t="shared" si="9"/>
        <v>0.384577427644302</v>
      </c>
      <c r="J97" s="2">
        <f t="shared" si="10"/>
        <v>0.07690726243432525</v>
      </c>
      <c r="K97" s="3">
        <f t="shared" si="11"/>
        <v>177.49999999999997</v>
      </c>
      <c r="L97" s="2">
        <f t="shared" si="6"/>
        <v>4.999999999999999</v>
      </c>
      <c r="M97" s="2">
        <f t="shared" si="12"/>
        <v>35.49620466731776</v>
      </c>
      <c r="N97">
        <f t="shared" si="22"/>
        <v>1</v>
      </c>
      <c r="O97">
        <f t="shared" si="13"/>
        <v>177.49999999999997</v>
      </c>
      <c r="P97">
        <f t="shared" si="14"/>
        <v>1</v>
      </c>
      <c r="AK97" s="25"/>
      <c r="AL97" s="25"/>
    </row>
    <row r="98" spans="1:38" ht="14.25">
      <c r="A98">
        <f t="shared" si="18"/>
        <v>51</v>
      </c>
      <c r="B98" s="2">
        <f t="shared" si="15"/>
        <v>0.386855</v>
      </c>
      <c r="C98" s="2">
        <f t="shared" si="2"/>
        <v>1</v>
      </c>
      <c r="E98" s="2">
        <f t="shared" si="3"/>
        <v>0.9261001763062255</v>
      </c>
      <c r="F98" s="2">
        <f t="shared" si="21"/>
        <v>0.37727770070013145</v>
      </c>
      <c r="G98" s="2">
        <f t="shared" si="4"/>
        <v>0.2218997720132423</v>
      </c>
      <c r="H98" s="2">
        <f t="shared" si="5"/>
        <v>-0.3327235602801565</v>
      </c>
      <c r="I98" s="2">
        <f t="shared" si="9"/>
        <v>0.39247234562731725</v>
      </c>
      <c r="J98" s="2">
        <f t="shared" si="10"/>
        <v>0.07687609708370646</v>
      </c>
      <c r="K98" s="3">
        <f t="shared" si="11"/>
        <v>181.14386425529196</v>
      </c>
      <c r="L98" s="2">
        <f t="shared" si="6"/>
        <v>5.102644063529351</v>
      </c>
      <c r="M98" s="2">
        <f t="shared" si="12"/>
        <v>35.48182043845462</v>
      </c>
      <c r="N98">
        <f t="shared" si="22"/>
        <v>0</v>
      </c>
      <c r="O98">
        <f t="shared" si="13"/>
        <v>0</v>
      </c>
      <c r="P98">
        <f t="shared" si="14"/>
        <v>0</v>
      </c>
      <c r="AK98" s="25"/>
      <c r="AL98" s="25"/>
    </row>
    <row r="99" spans="1:38" ht="14.25">
      <c r="A99">
        <f t="shared" si="18"/>
        <v>52</v>
      </c>
      <c r="B99" s="2">
        <f t="shared" si="15"/>
        <v>0.37896</v>
      </c>
      <c r="C99" s="2">
        <f t="shared" si="2"/>
        <v>1</v>
      </c>
      <c r="E99" s="2">
        <f t="shared" si="3"/>
        <v>0.929049890573371</v>
      </c>
      <c r="F99" s="2">
        <f t="shared" si="21"/>
        <v>0.3699544577723149</v>
      </c>
      <c r="G99" s="2">
        <f t="shared" si="4"/>
        <v>0.2248494862803877</v>
      </c>
      <c r="H99" s="2">
        <f t="shared" si="5"/>
        <v>-0.34004680320797304</v>
      </c>
      <c r="I99" s="2">
        <f t="shared" si="9"/>
        <v>0.40036677151455835</v>
      </c>
      <c r="J99" s="2">
        <f t="shared" si="10"/>
        <v>0.07678260297440823</v>
      </c>
      <c r="K99" s="3">
        <f t="shared" si="11"/>
        <v>184.78750138596968</v>
      </c>
      <c r="L99" s="2">
        <f t="shared" si="6"/>
        <v>5.205281729182245</v>
      </c>
      <c r="M99" s="2">
        <f t="shared" si="12"/>
        <v>35.43866864844424</v>
      </c>
      <c r="N99">
        <f t="shared" si="22"/>
        <v>0</v>
      </c>
      <c r="O99">
        <f t="shared" si="13"/>
        <v>0</v>
      </c>
      <c r="P99">
        <f t="shared" si="14"/>
        <v>0</v>
      </c>
      <c r="AK99" s="25"/>
      <c r="AL99" s="25"/>
    </row>
    <row r="100" spans="1:38" ht="14.25">
      <c r="A100">
        <f t="shared" si="18"/>
        <v>53</v>
      </c>
      <c r="B100" s="2">
        <f t="shared" si="15"/>
        <v>0.37106500000000003</v>
      </c>
      <c r="C100" s="2">
        <f t="shared" si="2"/>
        <v>1</v>
      </c>
      <c r="E100" s="2">
        <f t="shared" si="3"/>
        <v>0.9319416965093521</v>
      </c>
      <c r="F100" s="2">
        <f t="shared" si="21"/>
        <v>0.3626081553237194</v>
      </c>
      <c r="G100" s="2">
        <f t="shared" si="4"/>
        <v>0.22774129221636885</v>
      </c>
      <c r="H100" s="2">
        <f t="shared" si="5"/>
        <v>-0.3473931056565685</v>
      </c>
      <c r="I100" s="2">
        <f t="shared" si="9"/>
        <v>0.40826021324092393</v>
      </c>
      <c r="J100" s="2">
        <f t="shared" si="10"/>
        <v>0.07662678593398387</v>
      </c>
      <c r="K100" s="3">
        <f t="shared" si="11"/>
        <v>188.4306842815757</v>
      </c>
      <c r="L100" s="2">
        <f t="shared" si="6"/>
        <v>5.307906599481006</v>
      </c>
      <c r="M100" s="2">
        <f t="shared" si="12"/>
        <v>35.366751986967934</v>
      </c>
      <c r="N100">
        <f t="shared" si="22"/>
        <v>0</v>
      </c>
      <c r="O100">
        <f t="shared" si="13"/>
        <v>0</v>
      </c>
      <c r="P100">
        <f t="shared" si="14"/>
        <v>0</v>
      </c>
      <c r="AK100" s="25"/>
      <c r="AL100" s="25"/>
    </row>
    <row r="101" spans="1:37" ht="14.25">
      <c r="A101">
        <f t="shared" si="18"/>
        <v>54</v>
      </c>
      <c r="B101" s="2">
        <f t="shared" si="15"/>
        <v>0.36317</v>
      </c>
      <c r="C101" s="2">
        <f t="shared" si="2"/>
        <v>1</v>
      </c>
      <c r="E101" s="2">
        <f t="shared" si="3"/>
        <v>0.9347754138658774</v>
      </c>
      <c r="F101" s="2">
        <f t="shared" si="21"/>
        <v>0.3552392512545281</v>
      </c>
      <c r="G101" s="2">
        <f t="shared" si="4"/>
        <v>0.23057500957289412</v>
      </c>
      <c r="H101" s="2">
        <f t="shared" si="5"/>
        <v>-0.35476200972575983</v>
      </c>
      <c r="I101" s="2">
        <f t="shared" si="9"/>
        <v>0.41615217880265604</v>
      </c>
      <c r="J101" s="2">
        <f t="shared" si="10"/>
        <v>0.07640865567461891</v>
      </c>
      <c r="K101" s="3">
        <f t="shared" si="11"/>
        <v>192.0731858599655</v>
      </c>
      <c r="L101" s="2">
        <f t="shared" si="6"/>
        <v>5.410512277745507</v>
      </c>
      <c r="M101" s="2">
        <f t="shared" si="12"/>
        <v>35.2660749366417</v>
      </c>
      <c r="N101">
        <f t="shared" si="22"/>
        <v>0</v>
      </c>
      <c r="O101">
        <f t="shared" si="13"/>
        <v>0</v>
      </c>
      <c r="P101">
        <f t="shared" si="14"/>
        <v>0</v>
      </c>
      <c r="AK101" s="25"/>
    </row>
    <row r="102" spans="1:37" ht="14.25">
      <c r="A102">
        <f t="shared" si="18"/>
        <v>55</v>
      </c>
      <c r="B102" s="2">
        <f t="shared" si="15"/>
        <v>0.355275</v>
      </c>
      <c r="C102" s="2">
        <f t="shared" si="2"/>
        <v>1</v>
      </c>
      <c r="E102" s="2">
        <f t="shared" si="3"/>
        <v>0.9375508660153566</v>
      </c>
      <c r="F102" s="2">
        <f t="shared" si="21"/>
        <v>0.347848204873699</v>
      </c>
      <c r="G102" s="2">
        <f t="shared" si="4"/>
        <v>0.2333504617223734</v>
      </c>
      <c r="H102" s="2">
        <f t="shared" si="5"/>
        <v>-0.36215305610658893</v>
      </c>
      <c r="I102" s="2">
        <f t="shared" si="9"/>
        <v>0.4240421762880071</v>
      </c>
      <c r="J102" s="2">
        <f t="shared" si="10"/>
        <v>0.07612822579252529</v>
      </c>
      <c r="K102" s="3">
        <f t="shared" si="11"/>
        <v>195.71477908146136</v>
      </c>
      <c r="L102" s="2">
        <f t="shared" si="6"/>
        <v>5.513092368491869</v>
      </c>
      <c r="M102" s="2">
        <f t="shared" si="12"/>
        <v>35.13664377273663</v>
      </c>
      <c r="N102">
        <f t="shared" si="22"/>
        <v>0</v>
      </c>
      <c r="O102">
        <f t="shared" si="13"/>
        <v>0</v>
      </c>
      <c r="P102">
        <f t="shared" si="14"/>
        <v>0</v>
      </c>
      <c r="AK102" s="25"/>
    </row>
    <row r="103" spans="1:38" ht="14.25">
      <c r="A103">
        <f t="shared" si="18"/>
        <v>56</v>
      </c>
      <c r="B103" s="2">
        <f t="shared" si="15"/>
        <v>0.34738</v>
      </c>
      <c r="C103" s="2">
        <f t="shared" si="2"/>
        <v>1</v>
      </c>
      <c r="E103" s="2">
        <f t="shared" si="3"/>
        <v>0.9402678799619112</v>
      </c>
      <c r="F103" s="2">
        <f t="shared" si="21"/>
        <v>0.3404354768703359</v>
      </c>
      <c r="G103" s="2">
        <f t="shared" si="4"/>
        <v>0.23606747566892794</v>
      </c>
      <c r="H103" s="2">
        <f t="shared" si="5"/>
        <v>-0.36956578410995206</v>
      </c>
      <c r="I103" s="2">
        <f t="shared" si="9"/>
        <v>0.4319297139079009</v>
      </c>
      <c r="J103" s="2">
        <f t="shared" si="10"/>
        <v>0.07578551376709416</v>
      </c>
      <c r="K103" s="3">
        <f t="shared" si="11"/>
        <v>199.35523696300416</v>
      </c>
      <c r="L103" s="2">
        <f t="shared" si="6"/>
        <v>5.615640477831103</v>
      </c>
      <c r="M103" s="2">
        <f t="shared" si="12"/>
        <v>34.978466562787936</v>
      </c>
      <c r="N103">
        <f t="shared" si="22"/>
        <v>0</v>
      </c>
      <c r="O103">
        <f t="shared" si="13"/>
        <v>0</v>
      </c>
      <c r="P103">
        <f t="shared" si="14"/>
        <v>0</v>
      </c>
      <c r="AK103" s="25"/>
      <c r="AL103" s="25"/>
    </row>
    <row r="104" spans="1:38" ht="14.25">
      <c r="A104">
        <f t="shared" si="18"/>
        <v>57</v>
      </c>
      <c r="B104" s="2">
        <f t="shared" si="15"/>
        <v>0.33948500000000004</v>
      </c>
      <c r="C104" s="2">
        <f t="shared" si="2"/>
        <v>1</v>
      </c>
      <c r="E104" s="2">
        <f t="shared" si="3"/>
        <v>0.9429262863521566</v>
      </c>
      <c r="F104" s="2">
        <f t="shared" si="21"/>
        <v>0.33300152928497323</v>
      </c>
      <c r="G104" s="2">
        <f t="shared" si="4"/>
        <v>0.23872588205917333</v>
      </c>
      <c r="H104" s="2">
        <f t="shared" si="5"/>
        <v>-0.3769997316953147</v>
      </c>
      <c r="I104" s="2">
        <f t="shared" si="9"/>
        <v>0.4398143000265868</v>
      </c>
      <c r="J104" s="2">
        <f t="shared" si="10"/>
        <v>0.07538054095980651</v>
      </c>
      <c r="K104" s="3">
        <f t="shared" si="11"/>
        <v>202.99433259230136</v>
      </c>
      <c r="L104" s="2">
        <f t="shared" si="6"/>
        <v>5.718150213867644</v>
      </c>
      <c r="M104" s="2">
        <f t="shared" si="12"/>
        <v>34.79155316609206</v>
      </c>
      <c r="N104">
        <f t="shared" si="22"/>
        <v>0</v>
      </c>
      <c r="O104">
        <f t="shared" si="13"/>
        <v>0</v>
      </c>
      <c r="P104">
        <f t="shared" si="14"/>
        <v>0</v>
      </c>
      <c r="AK104" s="25"/>
      <c r="AL104" s="25"/>
    </row>
    <row r="105" spans="1:38" ht="14.25">
      <c r="A105">
        <f t="shared" si="18"/>
        <v>58</v>
      </c>
      <c r="B105" s="2">
        <f t="shared" si="15"/>
        <v>0.33159000000000005</v>
      </c>
      <c r="C105" s="2">
        <f t="shared" si="2"/>
        <v>1</v>
      </c>
      <c r="E105" s="2">
        <f t="shared" si="3"/>
        <v>0.9455259194857581</v>
      </c>
      <c r="F105" s="2">
        <f t="shared" si="21"/>
        <v>0.3255468254807771</v>
      </c>
      <c r="G105" s="2">
        <f t="shared" si="4"/>
        <v>0.2413255151927749</v>
      </c>
      <c r="H105" s="2">
        <f t="shared" si="5"/>
        <v>-0.3844544354995108</v>
      </c>
      <c r="I105" s="2">
        <f t="shared" si="9"/>
        <v>0.4476954431922828</v>
      </c>
      <c r="J105" s="2">
        <f t="shared" si="10"/>
        <v>0.07491333261290131</v>
      </c>
      <c r="K105" s="3">
        <f t="shared" si="11"/>
        <v>206.63183914197046</v>
      </c>
      <c r="L105" s="2">
        <f t="shared" si="6"/>
        <v>5.82061518709776</v>
      </c>
      <c r="M105" s="2">
        <f t="shared" si="12"/>
        <v>34.57591523309206</v>
      </c>
      <c r="N105">
        <f t="shared" si="22"/>
        <v>0</v>
      </c>
      <c r="O105">
        <f t="shared" si="13"/>
        <v>0</v>
      </c>
      <c r="P105">
        <f t="shared" si="14"/>
        <v>0</v>
      </c>
      <c r="AK105" s="25"/>
      <c r="AL105" s="25"/>
    </row>
    <row r="106" spans="1:38" ht="14.25">
      <c r="A106">
        <f t="shared" si="18"/>
        <v>59</v>
      </c>
      <c r="B106" s="2">
        <f t="shared" si="15"/>
        <v>0.323695</v>
      </c>
      <c r="C106" s="2">
        <f t="shared" si="2"/>
        <v>1</v>
      </c>
      <c r="E106" s="2">
        <f t="shared" si="3"/>
        <v>0.9480666173257599</v>
      </c>
      <c r="F106" s="2">
        <f t="shared" si="21"/>
        <v>0.318071830114663</v>
      </c>
      <c r="G106" s="2">
        <f t="shared" si="4"/>
        <v>0.24386621303277667</v>
      </c>
      <c r="H106" s="2">
        <f t="shared" si="5"/>
        <v>-0.39192943086562493</v>
      </c>
      <c r="I106" s="2">
        <f t="shared" si="9"/>
        <v>0.4555726521678092</v>
      </c>
      <c r="J106" s="2">
        <f t="shared" si="10"/>
        <v>0.07438391784780249</v>
      </c>
      <c r="K106" s="3">
        <f t="shared" si="11"/>
        <v>210.26752988367758</v>
      </c>
      <c r="L106" s="2">
        <f t="shared" si="6"/>
        <v>5.923029010807819</v>
      </c>
      <c r="M106" s="2">
        <f t="shared" si="12"/>
        <v>34.33156620465154</v>
      </c>
      <c r="N106">
        <f t="shared" si="22"/>
        <v>0</v>
      </c>
      <c r="O106">
        <f t="shared" si="13"/>
        <v>0</v>
      </c>
      <c r="P106">
        <f t="shared" si="14"/>
        <v>0</v>
      </c>
      <c r="AK106" s="25"/>
      <c r="AL106" s="25"/>
    </row>
    <row r="107" spans="1:38" ht="14.25">
      <c r="A107">
        <f t="shared" si="18"/>
        <v>60</v>
      </c>
      <c r="B107" s="2">
        <f t="shared" si="15"/>
        <v>0.3158</v>
      </c>
      <c r="C107" s="2">
        <f t="shared" si="2"/>
        <v>1</v>
      </c>
      <c r="E107" s="2">
        <f t="shared" si="3"/>
        <v>0.9505482215086838</v>
      </c>
      <c r="F107" s="2">
        <f t="shared" si="21"/>
        <v>0.31057700910833397</v>
      </c>
      <c r="G107" s="2">
        <f t="shared" si="4"/>
        <v>0.24634781721570054</v>
      </c>
      <c r="H107" s="2">
        <f t="shared" si="5"/>
        <v>-0.39942425187195396</v>
      </c>
      <c r="I107" s="2">
        <f t="shared" si="9"/>
        <v>0.46344543596120635</v>
      </c>
      <c r="J107" s="2">
        <f t="shared" si="10"/>
        <v>0.0737923296633036</v>
      </c>
      <c r="K107" s="3">
        <f t="shared" si="11"/>
        <v>213.9011782022692</v>
      </c>
      <c r="L107" s="2">
        <f t="shared" si="6"/>
        <v>6.0253853014723715</v>
      </c>
      <c r="M107" s="2">
        <f t="shared" si="12"/>
        <v>34.05852131121678</v>
      </c>
      <c r="N107">
        <f t="shared" si="22"/>
        <v>0</v>
      </c>
      <c r="O107">
        <f t="shared" si="13"/>
        <v>0</v>
      </c>
      <c r="P107">
        <f t="shared" si="14"/>
        <v>0</v>
      </c>
      <c r="AK107" s="25"/>
      <c r="AL107" s="25"/>
    </row>
    <row r="108" spans="1:38" ht="14.25">
      <c r="A108">
        <f t="shared" si="18"/>
        <v>61</v>
      </c>
      <c r="B108" s="2">
        <f t="shared" si="15"/>
        <v>0.30790500000000004</v>
      </c>
      <c r="C108" s="2">
        <f t="shared" si="2"/>
        <v>1</v>
      </c>
      <c r="E108" s="2">
        <f t="shared" si="3"/>
        <v>0.9529705773544008</v>
      </c>
      <c r="F108" s="2">
        <f t="shared" si="21"/>
        <v>0.30306282961923897</v>
      </c>
      <c r="G108" s="2">
        <f t="shared" si="4"/>
        <v>0.24877017306141758</v>
      </c>
      <c r="H108" s="2">
        <f t="shared" si="5"/>
        <v>-0.40693843136104896</v>
      </c>
      <c r="I108" s="2">
        <f t="shared" si="9"/>
        <v>0.4713133038563399</v>
      </c>
      <c r="J108" s="2">
        <f t="shared" si="10"/>
        <v>0.07313860493351101</v>
      </c>
      <c r="K108" s="3">
        <f t="shared" si="11"/>
        <v>217.53255760989754</v>
      </c>
      <c r="L108" s="2">
        <f t="shared" si="6"/>
        <v>6.127677679152043</v>
      </c>
      <c r="M108" s="2">
        <f t="shared" si="12"/>
        <v>33.75679757186745</v>
      </c>
      <c r="N108">
        <f t="shared" si="22"/>
        <v>0</v>
      </c>
      <c r="O108">
        <f t="shared" si="13"/>
        <v>0</v>
      </c>
      <c r="P108">
        <f t="shared" si="14"/>
        <v>0</v>
      </c>
      <c r="AK108" s="25"/>
      <c r="AL108" s="25"/>
    </row>
    <row r="109" spans="1:38" ht="14.25">
      <c r="A109">
        <f t="shared" si="18"/>
        <v>62</v>
      </c>
      <c r="B109" s="2">
        <f t="shared" si="15"/>
        <v>0.30001</v>
      </c>
      <c r="C109" s="2">
        <f t="shared" si="2"/>
        <v>1</v>
      </c>
      <c r="E109" s="2">
        <f t="shared" si="3"/>
        <v>0.9553335338757726</v>
      </c>
      <c r="F109" s="2">
        <f t="shared" si="21"/>
        <v>0.29552976001145465</v>
      </c>
      <c r="G109" s="2">
        <f t="shared" si="4"/>
        <v>0.2511331295827893</v>
      </c>
      <c r="H109" s="2">
        <f t="shared" si="5"/>
        <v>-0.4144715009688333</v>
      </c>
      <c r="I109" s="2">
        <f t="shared" si="9"/>
        <v>0.47917576544348683</v>
      </c>
      <c r="J109" s="2">
        <f t="shared" si="10"/>
        <v>0.07242278440554559</v>
      </c>
      <c r="K109" s="3">
        <f t="shared" si="11"/>
        <v>221.16144176013782</v>
      </c>
      <c r="L109" s="2">
        <f t="shared" si="6"/>
        <v>6.229899767891206</v>
      </c>
      <c r="M109" s="2">
        <f t="shared" si="12"/>
        <v>33.426413793255826</v>
      </c>
      <c r="N109">
        <f t="shared" si="22"/>
        <v>0</v>
      </c>
      <c r="O109">
        <f t="shared" si="13"/>
        <v>0</v>
      </c>
      <c r="P109">
        <f t="shared" si="14"/>
        <v>0</v>
      </c>
      <c r="AK109" s="25"/>
      <c r="AL109" s="25"/>
    </row>
    <row r="110" spans="1:38" ht="14.25">
      <c r="A110">
        <f t="shared" si="18"/>
        <v>63</v>
      </c>
      <c r="B110" s="2">
        <f t="shared" si="15"/>
        <v>0.292115</v>
      </c>
      <c r="C110" s="2">
        <f t="shared" si="2"/>
        <v>1</v>
      </c>
      <c r="E110" s="2">
        <f t="shared" si="3"/>
        <v>0.9576369437880621</v>
      </c>
      <c r="F110" s="2">
        <f aca="true" t="shared" si="23" ref="F110:F141">C110*SIN(B110)</f>
        <v>0.28797826982649233</v>
      </c>
      <c r="G110" s="2">
        <f t="shared" si="4"/>
        <v>0.2534365394950788</v>
      </c>
      <c r="H110" s="2">
        <f t="shared" si="5"/>
        <v>-0.4220229911537956</v>
      </c>
      <c r="I110" s="2">
        <f t="shared" si="9"/>
        <v>0.48703233064990265</v>
      </c>
      <c r="J110" s="2">
        <f t="shared" si="10"/>
        <v>0.07164491269700282</v>
      </c>
      <c r="K110" s="3">
        <f t="shared" si="11"/>
        <v>224.78760446209603</v>
      </c>
      <c r="L110" s="2">
        <f t="shared" si="6"/>
        <v>6.332045196115382</v>
      </c>
      <c r="M110" s="2">
        <f t="shared" si="12"/>
        <v>33.06739056843452</v>
      </c>
      <c r="N110">
        <f t="shared" si="22"/>
        <v>0</v>
      </c>
      <c r="O110">
        <f t="shared" si="13"/>
        <v>0</v>
      </c>
      <c r="P110">
        <f t="shared" si="14"/>
        <v>0</v>
      </c>
      <c r="AK110" s="25"/>
      <c r="AL110" s="25"/>
    </row>
    <row r="111" spans="1:38" ht="14.25">
      <c r="A111">
        <f t="shared" si="18"/>
        <v>64</v>
      </c>
      <c r="B111" s="2">
        <f t="shared" si="15"/>
        <v>0.28422000000000003</v>
      </c>
      <c r="C111" s="2">
        <f aca="true" t="shared" si="24" ref="C111:C148">$F$8</f>
        <v>1</v>
      </c>
      <c r="E111" s="2">
        <f aca="true" t="shared" si="25" ref="E111:E148">C111*COS(B111)</f>
        <v>0.9598806635181142</v>
      </c>
      <c r="F111" s="2">
        <f t="shared" si="23"/>
        <v>0.2804088297540305</v>
      </c>
      <c r="G111" s="2">
        <f aca="true" t="shared" si="26" ref="G111:G148">(E111-$H$41)</f>
        <v>0.25568025922513093</v>
      </c>
      <c r="H111" s="2">
        <f aca="true" t="shared" si="27" ref="H111:H148">(F111-$H$42)</f>
        <v>-0.42959243122625745</v>
      </c>
      <c r="I111" s="2">
        <f t="shared" si="9"/>
        <v>0.49488250977036896</v>
      </c>
      <c r="J111" s="2">
        <f t="shared" si="10"/>
        <v>0.07080503829317164</v>
      </c>
      <c r="K111" s="3">
        <f t="shared" si="11"/>
        <v>228.41081969450832</v>
      </c>
      <c r="L111" s="2">
        <f aca="true" t="shared" si="28" ref="L111:L148">K111*10/$F$10</f>
        <v>6.434107597028404</v>
      </c>
      <c r="M111" s="2">
        <f t="shared" si="12"/>
        <v>32.67975027557282</v>
      </c>
      <c r="N111">
        <f aca="true" t="shared" si="29" ref="N111:N147">IF(M111=$F$15,1,0)</f>
        <v>0</v>
      </c>
      <c r="O111">
        <f t="shared" si="13"/>
        <v>0</v>
      </c>
      <c r="P111">
        <f t="shared" si="14"/>
        <v>0</v>
      </c>
      <c r="AK111" s="25"/>
      <c r="AL111" s="25"/>
    </row>
    <row r="112" spans="1:38" ht="14.25">
      <c r="A112">
        <f t="shared" si="18"/>
        <v>65</v>
      </c>
      <c r="B112" s="2">
        <f t="shared" si="15"/>
        <v>0.27632500000000004</v>
      </c>
      <c r="C112" s="2">
        <f t="shared" si="24"/>
        <v>1</v>
      </c>
      <c r="E112" s="2">
        <f t="shared" si="25"/>
        <v>0.9620645532133048</v>
      </c>
      <c r="F112" s="2">
        <f t="shared" si="23"/>
        <v>0.27282191160257685</v>
      </c>
      <c r="G112" s="2">
        <f t="shared" si="26"/>
        <v>0.2578641489203215</v>
      </c>
      <c r="H112" s="2">
        <f t="shared" si="27"/>
        <v>-0.4371793493777111</v>
      </c>
      <c r="I112" s="2">
        <f aca="true" t="shared" si="30" ref="I112:I147">G112*$J$43+H112*$J$42</f>
        <v>0.5027258134977164</v>
      </c>
      <c r="J112" s="2">
        <f aca="true" t="shared" si="31" ref="J112:J147">H112*$J$43-G112*$J$42</f>
        <v>0.06990321354401266</v>
      </c>
      <c r="K112" s="3">
        <f aca="true" t="shared" si="32" ref="K112:K147">I112*$M$41</f>
        <v>232.03086161982853</v>
      </c>
      <c r="L112" s="2">
        <f t="shared" si="28"/>
        <v>6.536080609009254</v>
      </c>
      <c r="M112" s="2">
        <f aca="true" t="shared" si="33" ref="M112:M147">J112*$M$41</f>
        <v>32.26351707656206</v>
      </c>
      <c r="N112">
        <f t="shared" si="29"/>
        <v>0</v>
      </c>
      <c r="O112">
        <f aca="true" t="shared" si="34" ref="O112:O147">IF(N112=1,K112,0)</f>
        <v>0</v>
      </c>
      <c r="P112">
        <f aca="true" t="shared" si="35" ref="P112:P147">IF(N112=1,C112,0)</f>
        <v>0</v>
      </c>
      <c r="AK112" s="25"/>
      <c r="AL112" s="25"/>
    </row>
    <row r="113" spans="1:38" ht="14.25">
      <c r="A113">
        <f t="shared" si="18"/>
        <v>66</v>
      </c>
      <c r="B113" s="2">
        <f aca="true" t="shared" si="36" ref="B113:B148">A113*$B$12+$B$8</f>
        <v>0.26843000000000006</v>
      </c>
      <c r="C113" s="2">
        <f t="shared" si="24"/>
        <v>1</v>
      </c>
      <c r="E113" s="2">
        <f t="shared" si="25"/>
        <v>0.9641884767502578</v>
      </c>
      <c r="F113" s="2">
        <f t="shared" si="23"/>
        <v>0.2652179882700601</v>
      </c>
      <c r="G113" s="2">
        <f t="shared" si="26"/>
        <v>0.2599880724572745</v>
      </c>
      <c r="H113" s="2">
        <f t="shared" si="27"/>
        <v>-0.44478327271022783</v>
      </c>
      <c r="I113" s="2">
        <f t="shared" si="30"/>
        <v>0.5105617529533233</v>
      </c>
      <c r="J113" s="2">
        <f t="shared" si="31"/>
        <v>0.06893949466089502</v>
      </c>
      <c r="K113" s="3">
        <f t="shared" si="32"/>
        <v>235.64750459830478</v>
      </c>
      <c r="L113" s="2">
        <f t="shared" si="28"/>
        <v>6.637957876008586</v>
      </c>
      <c r="M113" s="2">
        <f t="shared" si="33"/>
        <v>31.818716915509455</v>
      </c>
      <c r="N113">
        <f t="shared" si="29"/>
        <v>0</v>
      </c>
      <c r="O113">
        <f t="shared" si="34"/>
        <v>0</v>
      </c>
      <c r="P113">
        <f t="shared" si="35"/>
        <v>0</v>
      </c>
      <c r="AK113" s="25"/>
      <c r="AL113" s="25"/>
    </row>
    <row r="114" spans="1:38" ht="14.25">
      <c r="A114">
        <f t="shared" si="18"/>
        <v>67</v>
      </c>
      <c r="B114" s="2">
        <f t="shared" si="36"/>
        <v>0.26053500000000007</v>
      </c>
      <c r="C114" s="2">
        <f t="shared" si="24"/>
        <v>1</v>
      </c>
      <c r="E114" s="2">
        <f t="shared" si="25"/>
        <v>0.9662523017433295</v>
      </c>
      <c r="F114" s="2">
        <f t="shared" si="23"/>
        <v>0.25759753371435357</v>
      </c>
      <c r="G114" s="2">
        <f t="shared" si="26"/>
        <v>0.2620518974503463</v>
      </c>
      <c r="H114" s="2">
        <f t="shared" si="27"/>
        <v>-0.45240372726593436</v>
      </c>
      <c r="I114" s="2">
        <f t="shared" si="30"/>
        <v>0.5183898397175888</v>
      </c>
      <c r="J114" s="2">
        <f t="shared" si="31"/>
        <v>0.06791394171309217</v>
      </c>
      <c r="K114" s="3">
        <f t="shared" si="32"/>
        <v>239.26052320204423</v>
      </c>
      <c r="L114" s="2">
        <f t="shared" si="28"/>
        <v>6.739733047944908</v>
      </c>
      <c r="M114" s="2">
        <f t="shared" si="33"/>
        <v>31.345377517120813</v>
      </c>
      <c r="N114">
        <f t="shared" si="29"/>
        <v>0</v>
      </c>
      <c r="O114">
        <f t="shared" si="34"/>
        <v>0</v>
      </c>
      <c r="P114">
        <f t="shared" si="35"/>
        <v>0</v>
      </c>
      <c r="AK114" s="25"/>
      <c r="AL114" s="25"/>
    </row>
    <row r="115" spans="1:38" ht="14.25">
      <c r="A115">
        <f t="shared" si="18"/>
        <v>68</v>
      </c>
      <c r="B115" s="2">
        <f t="shared" si="36"/>
        <v>0.2526400000000001</v>
      </c>
      <c r="C115" s="2">
        <f t="shared" si="24"/>
        <v>1</v>
      </c>
      <c r="E115" s="2">
        <f t="shared" si="25"/>
        <v>0.9682558995528614</v>
      </c>
      <c r="F115" s="2">
        <f t="shared" si="23"/>
        <v>0.2499610229237336</v>
      </c>
      <c r="G115" s="2">
        <f t="shared" si="26"/>
        <v>0.26405549525987815</v>
      </c>
      <c r="H115" s="2">
        <f t="shared" si="27"/>
        <v>-0.46004023805655436</v>
      </c>
      <c r="I115" s="2">
        <f t="shared" si="30"/>
        <v>0.5262095858603756</v>
      </c>
      <c r="J115" s="2">
        <f t="shared" si="31"/>
        <v>0.06682661862403894</v>
      </c>
      <c r="K115" s="3">
        <f t="shared" si="32"/>
        <v>242.86969222906376</v>
      </c>
      <c r="L115" s="2">
        <f t="shared" si="28"/>
        <v>6.841399781100388</v>
      </c>
      <c r="M115" s="2">
        <f t="shared" si="33"/>
        <v>30.843528384972952</v>
      </c>
      <c r="N115">
        <f t="shared" si="29"/>
        <v>0</v>
      </c>
      <c r="O115">
        <f t="shared" si="34"/>
        <v>0</v>
      </c>
      <c r="P115">
        <f t="shared" si="35"/>
        <v>0</v>
      </c>
      <c r="AK115" s="25"/>
      <c r="AL115" s="25"/>
    </row>
    <row r="116" spans="1:38" ht="14.25">
      <c r="A116">
        <f t="shared" si="18"/>
        <v>69</v>
      </c>
      <c r="B116" s="2">
        <f t="shared" si="36"/>
        <v>0.244745</v>
      </c>
      <c r="C116" s="2">
        <f t="shared" si="24"/>
        <v>1</v>
      </c>
      <c r="E116" s="2">
        <f t="shared" si="25"/>
        <v>0.9701991452931965</v>
      </c>
      <c r="F116" s="2">
        <f t="shared" si="23"/>
        <v>0.2423089318872726</v>
      </c>
      <c r="G116" s="2">
        <f t="shared" si="26"/>
        <v>0.26599874100021326</v>
      </c>
      <c r="H116" s="2">
        <f t="shared" si="27"/>
        <v>-0.46769232909301534</v>
      </c>
      <c r="I116" s="2">
        <f t="shared" si="30"/>
        <v>0.5340205039714229</v>
      </c>
      <c r="J116" s="2">
        <f t="shared" si="31"/>
        <v>0.06567759316734553</v>
      </c>
      <c r="K116" s="3">
        <f t="shared" si="32"/>
        <v>246.4747867173269</v>
      </c>
      <c r="L116" s="2">
        <f t="shared" si="28"/>
        <v>6.942951738516252</v>
      </c>
      <c r="M116" s="2">
        <f t="shared" si="33"/>
        <v>30.313200799674018</v>
      </c>
      <c r="N116">
        <f t="shared" si="29"/>
        <v>0</v>
      </c>
      <c r="O116">
        <f t="shared" si="34"/>
        <v>0</v>
      </c>
      <c r="P116">
        <f t="shared" si="35"/>
        <v>0</v>
      </c>
      <c r="AK116" s="25"/>
      <c r="AL116" s="25"/>
    </row>
    <row r="117" spans="1:38" ht="14.25">
      <c r="A117">
        <f t="shared" si="18"/>
        <v>70</v>
      </c>
      <c r="B117" s="2">
        <f t="shared" si="36"/>
        <v>0.23685</v>
      </c>
      <c r="C117" s="2">
        <f t="shared" si="24"/>
        <v>1</v>
      </c>
      <c r="E117" s="2">
        <f t="shared" si="25"/>
        <v>0.9720819178404655</v>
      </c>
      <c r="F117" s="2">
        <f t="shared" si="23"/>
        <v>0.234641737565171</v>
      </c>
      <c r="G117" s="2">
        <f t="shared" si="26"/>
        <v>0.26788151354748224</v>
      </c>
      <c r="H117" s="2">
        <f t="shared" si="27"/>
        <v>-0.4753595234151169</v>
      </c>
      <c r="I117" s="2">
        <f t="shared" si="30"/>
        <v>0.5418221071907277</v>
      </c>
      <c r="J117" s="2">
        <f t="shared" si="31"/>
        <v>0.06446693696257474</v>
      </c>
      <c r="K117" s="3">
        <f t="shared" si="32"/>
        <v>250.0755819587663</v>
      </c>
      <c r="L117" s="2">
        <f t="shared" si="28"/>
        <v>7.044382590387782</v>
      </c>
      <c r="M117" s="2">
        <f t="shared" si="33"/>
        <v>29.754427816914433</v>
      </c>
      <c r="N117">
        <f t="shared" si="29"/>
        <v>0</v>
      </c>
      <c r="O117">
        <f t="shared" si="34"/>
        <v>0</v>
      </c>
      <c r="P117">
        <f t="shared" si="35"/>
        <v>0</v>
      </c>
      <c r="AK117" s="25"/>
      <c r="AL117" s="25"/>
    </row>
    <row r="118" spans="1:38" ht="14.25">
      <c r="A118">
        <f aca="true" t="shared" si="37" ref="A118:A148">A117+1</f>
        <v>71</v>
      </c>
      <c r="B118" s="2">
        <f t="shared" si="36"/>
        <v>0.22895500000000002</v>
      </c>
      <c r="C118" s="2">
        <f t="shared" si="24"/>
        <v>1</v>
      </c>
      <c r="E118" s="2">
        <f t="shared" si="25"/>
        <v>0.9739040998401349</v>
      </c>
      <c r="F118" s="2">
        <f t="shared" si="23"/>
        <v>0.2269599178590274</v>
      </c>
      <c r="G118" s="2">
        <f t="shared" si="26"/>
        <v>0.2697036955471517</v>
      </c>
      <c r="H118" s="2">
        <f t="shared" si="27"/>
        <v>-0.48304134312126057</v>
      </c>
      <c r="I118" s="2">
        <f t="shared" si="30"/>
        <v>0.5496139092388904</v>
      </c>
      <c r="J118" s="2">
        <f t="shared" si="31"/>
        <v>0.06319472547077642</v>
      </c>
      <c r="K118" s="3">
        <f t="shared" si="32"/>
        <v>253.67185351328945</v>
      </c>
      <c r="L118" s="2">
        <f t="shared" si="28"/>
        <v>7.145686014458858</v>
      </c>
      <c r="M118" s="2">
        <f t="shared" si="33"/>
        <v>29.167244265405888</v>
      </c>
      <c r="N118">
        <f t="shared" si="29"/>
        <v>0</v>
      </c>
      <c r="O118">
        <f t="shared" si="34"/>
        <v>0</v>
      </c>
      <c r="P118">
        <f t="shared" si="35"/>
        <v>0</v>
      </c>
      <c r="AK118" s="25"/>
      <c r="AL118" s="25"/>
    </row>
    <row r="119" spans="1:38" ht="14.25">
      <c r="A119">
        <f t="shared" si="37"/>
        <v>72</v>
      </c>
      <c r="B119" s="2">
        <f t="shared" si="36"/>
        <v>0.22106000000000003</v>
      </c>
      <c r="C119" s="2">
        <f t="shared" si="24"/>
        <v>1</v>
      </c>
      <c r="E119" s="2">
        <f t="shared" si="25"/>
        <v>0.9756655777143233</v>
      </c>
      <c r="F119" s="2">
        <f t="shared" si="23"/>
        <v>0.21926395158205078</v>
      </c>
      <c r="G119" s="2">
        <f t="shared" si="26"/>
        <v>0.27146517342134</v>
      </c>
      <c r="H119" s="2">
        <f t="shared" si="27"/>
        <v>-0.4907373093982371</v>
      </c>
      <c r="I119" s="2">
        <f t="shared" si="30"/>
        <v>0.5573954244474255</v>
      </c>
      <c r="J119" s="2">
        <f t="shared" si="31"/>
        <v>0.0618610379897854</v>
      </c>
      <c r="K119" s="3">
        <f t="shared" si="32"/>
        <v>257.2633772227685</v>
      </c>
      <c r="L119" s="2">
        <f t="shared" si="28"/>
        <v>7.246855696416014</v>
      </c>
      <c r="M119" s="2">
        <f t="shared" si="33"/>
        <v>28.551686744711095</v>
      </c>
      <c r="N119">
        <f t="shared" si="29"/>
        <v>0</v>
      </c>
      <c r="O119">
        <f t="shared" si="34"/>
        <v>0</v>
      </c>
      <c r="P119">
        <f t="shared" si="35"/>
        <v>0</v>
      </c>
      <c r="AK119" s="25"/>
      <c r="AL119" s="25"/>
    </row>
    <row r="120" spans="1:38" ht="14.25">
      <c r="A120">
        <f t="shared" si="37"/>
        <v>73</v>
      </c>
      <c r="B120" s="2">
        <f t="shared" si="36"/>
        <v>0.21316500000000005</v>
      </c>
      <c r="C120" s="2">
        <f t="shared" si="24"/>
        <v>1</v>
      </c>
      <c r="E120" s="2">
        <f t="shared" si="25"/>
        <v>0.9773662416688792</v>
      </c>
      <c r="F120" s="2">
        <f t="shared" si="23"/>
        <v>0.21155431842921596</v>
      </c>
      <c r="G120" s="2">
        <f t="shared" si="26"/>
        <v>0.27316583737589595</v>
      </c>
      <c r="H120" s="2">
        <f t="shared" si="27"/>
        <v>-0.49844694255107197</v>
      </c>
      <c r="I120" s="2">
        <f t="shared" si="30"/>
        <v>0.5651661677890334</v>
      </c>
      <c r="J120" s="2">
        <f t="shared" si="31"/>
        <v>0.06046595764927723</v>
      </c>
      <c r="K120" s="3">
        <f t="shared" si="32"/>
        <v>260.8499292250122</v>
      </c>
      <c r="L120" s="2">
        <f t="shared" si="28"/>
        <v>7.3478853302820335</v>
      </c>
      <c r="M120" s="2">
        <f t="shared" si="33"/>
        <v>27.907793622961808</v>
      </c>
      <c r="N120">
        <f t="shared" si="29"/>
        <v>0</v>
      </c>
      <c r="O120">
        <f t="shared" si="34"/>
        <v>0</v>
      </c>
      <c r="P120">
        <f t="shared" si="35"/>
        <v>0</v>
      </c>
      <c r="AK120" s="25"/>
      <c r="AL120" s="25"/>
    </row>
    <row r="121" spans="1:38" ht="14.25">
      <c r="A121">
        <f t="shared" si="37"/>
        <v>74</v>
      </c>
      <c r="B121" s="2">
        <f t="shared" si="36"/>
        <v>0.20527000000000006</v>
      </c>
      <c r="C121" s="2">
        <f t="shared" si="24"/>
        <v>1</v>
      </c>
      <c r="E121" s="2">
        <f t="shared" si="25"/>
        <v>0.9790059857002259</v>
      </c>
      <c r="F121" s="2">
        <f t="shared" si="23"/>
        <v>0.20383149894736358</v>
      </c>
      <c r="G121" s="2">
        <f t="shared" si="26"/>
        <v>0.27480558140724265</v>
      </c>
      <c r="H121" s="2">
        <f t="shared" si="27"/>
        <v>-0.5061697620329244</v>
      </c>
      <c r="I121" s="2">
        <f t="shared" si="30"/>
        <v>0.5729256549078325</v>
      </c>
      <c r="J121" s="2">
        <f t="shared" si="31"/>
        <v>0.05900957140558791</v>
      </c>
      <c r="K121" s="3">
        <f t="shared" si="32"/>
        <v>264.43128596771925</v>
      </c>
      <c r="L121" s="2">
        <f t="shared" si="28"/>
        <v>7.448768618808994</v>
      </c>
      <c r="M121" s="2">
        <f t="shared" si="33"/>
        <v>27.235605034467866</v>
      </c>
      <c r="N121">
        <f t="shared" si="29"/>
        <v>0</v>
      </c>
      <c r="O121">
        <f t="shared" si="34"/>
        <v>0</v>
      </c>
      <c r="P121">
        <f t="shared" si="35"/>
        <v>0</v>
      </c>
      <c r="AK121" s="25"/>
      <c r="AL121" s="25"/>
    </row>
    <row r="122" spans="1:38" ht="14.25">
      <c r="A122">
        <f t="shared" si="37"/>
        <v>75</v>
      </c>
      <c r="B122" s="2">
        <f t="shared" si="36"/>
        <v>0.19737500000000008</v>
      </c>
      <c r="C122" s="2">
        <f t="shared" si="24"/>
        <v>1</v>
      </c>
      <c r="E122" s="2">
        <f t="shared" si="25"/>
        <v>0.9805847076019681</v>
      </c>
      <c r="F122" s="2">
        <f t="shared" si="23"/>
        <v>0.1960959745052475</v>
      </c>
      <c r="G122" s="2">
        <f t="shared" si="26"/>
        <v>0.2763843033089849</v>
      </c>
      <c r="H122" s="2">
        <f t="shared" si="27"/>
        <v>-0.5139052864750404</v>
      </c>
      <c r="I122" s="2">
        <f t="shared" si="30"/>
        <v>0.5806734021495493</v>
      </c>
      <c r="J122" s="2">
        <f t="shared" si="31"/>
        <v>0.057491970036293444</v>
      </c>
      <c r="K122" s="3">
        <f t="shared" si="32"/>
        <v>268.00722422241233</v>
      </c>
      <c r="L122" s="2">
        <f t="shared" si="28"/>
        <v>7.54949927387077</v>
      </c>
      <c r="M122" s="2">
        <f t="shared" si="33"/>
        <v>26.53516287721543</v>
      </c>
      <c r="N122">
        <f t="shared" si="29"/>
        <v>0</v>
      </c>
      <c r="O122">
        <f t="shared" si="34"/>
        <v>0</v>
      </c>
      <c r="P122">
        <f t="shared" si="35"/>
        <v>0</v>
      </c>
      <c r="AK122" s="25"/>
      <c r="AL122" s="25"/>
    </row>
    <row r="123" spans="1:38" ht="14.25">
      <c r="A123">
        <f t="shared" si="37"/>
        <v>76</v>
      </c>
      <c r="B123" s="2">
        <f t="shared" si="36"/>
        <v>0.18947999999999998</v>
      </c>
      <c r="C123" s="2">
        <f t="shared" si="24"/>
        <v>1</v>
      </c>
      <c r="E123" s="2">
        <f t="shared" si="25"/>
        <v>0.9821023089712627</v>
      </c>
      <c r="F123" s="2">
        <f t="shared" si="23"/>
        <v>0.18834822726353048</v>
      </c>
      <c r="G123" s="2">
        <f t="shared" si="26"/>
        <v>0.27790190467827947</v>
      </c>
      <c r="H123" s="2">
        <f t="shared" si="27"/>
        <v>-0.5216530337167574</v>
      </c>
      <c r="I123" s="2">
        <f t="shared" si="30"/>
        <v>0.5884089265916655</v>
      </c>
      <c r="J123" s="2">
        <f t="shared" si="31"/>
        <v>0.05591324813455123</v>
      </c>
      <c r="K123" s="3">
        <f t="shared" si="32"/>
        <v>271.5775210983527</v>
      </c>
      <c r="L123" s="2">
        <f t="shared" si="28"/>
        <v>7.650071016855005</v>
      </c>
      <c r="M123" s="2">
        <f t="shared" si="33"/>
        <v>25.80651081025527</v>
      </c>
      <c r="N123">
        <f t="shared" si="29"/>
        <v>0</v>
      </c>
      <c r="O123">
        <f t="shared" si="34"/>
        <v>0</v>
      </c>
      <c r="P123">
        <f t="shared" si="35"/>
        <v>0</v>
      </c>
      <c r="AK123" s="25"/>
      <c r="AL123" s="25"/>
    </row>
    <row r="124" spans="1:38" ht="14.25">
      <c r="A124">
        <f t="shared" si="37"/>
        <v>77</v>
      </c>
      <c r="B124" s="2">
        <f t="shared" si="36"/>
        <v>0.181585</v>
      </c>
      <c r="C124" s="2">
        <f t="shared" si="24"/>
        <v>1</v>
      </c>
      <c r="E124" s="2">
        <f t="shared" si="25"/>
        <v>0.9835586952149519</v>
      </c>
      <c r="F124" s="2">
        <f t="shared" si="23"/>
        <v>0.18058874014473142</v>
      </c>
      <c r="G124" s="2">
        <f t="shared" si="26"/>
        <v>0.2793582909219686</v>
      </c>
      <c r="H124" s="2">
        <f t="shared" si="27"/>
        <v>-0.5294125208355565</v>
      </c>
      <c r="I124" s="2">
        <f t="shared" si="30"/>
        <v>0.5961317460735178</v>
      </c>
      <c r="J124" s="2">
        <f t="shared" si="31"/>
        <v>0.05427350410320439</v>
      </c>
      <c r="K124" s="3">
        <f t="shared" si="32"/>
        <v>275.14195405643216</v>
      </c>
      <c r="L124" s="2">
        <f t="shared" si="28"/>
        <v>7.750477579054427</v>
      </c>
      <c r="M124" s="2">
        <f t="shared" si="33"/>
        <v>25.049694250981638</v>
      </c>
      <c r="N124">
        <f t="shared" si="29"/>
        <v>0</v>
      </c>
      <c r="O124">
        <f t="shared" si="34"/>
        <v>0</v>
      </c>
      <c r="P124">
        <f t="shared" si="35"/>
        <v>0</v>
      </c>
      <c r="AK124" s="25"/>
      <c r="AL124" s="25"/>
    </row>
    <row r="125" spans="1:38" ht="14.25">
      <c r="A125">
        <f t="shared" si="37"/>
        <v>78</v>
      </c>
      <c r="B125" s="2">
        <f t="shared" si="36"/>
        <v>0.17369</v>
      </c>
      <c r="C125" s="2">
        <f t="shared" si="24"/>
        <v>1</v>
      </c>
      <c r="E125" s="2">
        <f t="shared" si="25"/>
        <v>0.98495377555546</v>
      </c>
      <c r="F125" s="2">
        <f t="shared" si="23"/>
        <v>0.1728179968031235</v>
      </c>
      <c r="G125" s="2">
        <f t="shared" si="26"/>
        <v>0.2807533712624768</v>
      </c>
      <c r="H125" s="2">
        <f t="shared" si="27"/>
        <v>-0.5371832641771644</v>
      </c>
      <c r="I125" s="2">
        <f t="shared" si="30"/>
        <v>0.6038413792263528</v>
      </c>
      <c r="J125" s="2">
        <f t="shared" si="31"/>
        <v>0.052572840148648464</v>
      </c>
      <c r="K125" s="3">
        <f t="shared" si="32"/>
        <v>278.70030092304523</v>
      </c>
      <c r="L125" s="2">
        <f t="shared" si="28"/>
        <v>7.850712702057613</v>
      </c>
      <c r="M125" s="2">
        <f t="shared" si="33"/>
        <v>24.264760372301488</v>
      </c>
      <c r="N125">
        <f t="shared" si="29"/>
        <v>0</v>
      </c>
      <c r="O125">
        <f t="shared" si="34"/>
        <v>0</v>
      </c>
      <c r="P125">
        <f t="shared" si="35"/>
        <v>0</v>
      </c>
      <c r="AK125" s="25"/>
      <c r="AL125" s="25"/>
    </row>
    <row r="126" spans="1:38" ht="14.25">
      <c r="A126">
        <f t="shared" si="37"/>
        <v>79</v>
      </c>
      <c r="B126" s="2">
        <f t="shared" si="36"/>
        <v>0.16579500000000003</v>
      </c>
      <c r="C126" s="2">
        <f t="shared" si="24"/>
        <v>1</v>
      </c>
      <c r="E126" s="2">
        <f t="shared" si="25"/>
        <v>0.9862874630364512</v>
      </c>
      <c r="F126" s="2">
        <f t="shared" si="23"/>
        <v>0.1650364815945884</v>
      </c>
      <c r="G126" s="2">
        <f t="shared" si="26"/>
        <v>0.28208705874346796</v>
      </c>
      <c r="H126" s="2">
        <f t="shared" si="27"/>
        <v>-0.5449647793856995</v>
      </c>
      <c r="I126" s="2">
        <f t="shared" si="30"/>
        <v>0.6115373455033294</v>
      </c>
      <c r="J126" s="2">
        <f t="shared" si="31"/>
        <v>0.05081136227446026</v>
      </c>
      <c r="K126" s="3">
        <f t="shared" si="32"/>
        <v>282.2523399039362</v>
      </c>
      <c r="L126" s="2">
        <f t="shared" si="28"/>
        <v>7.950770138139048</v>
      </c>
      <c r="M126" s="2">
        <f t="shared" si="33"/>
        <v>23.451758099693876</v>
      </c>
      <c r="N126">
        <f t="shared" si="29"/>
        <v>0</v>
      </c>
      <c r="O126">
        <f t="shared" si="34"/>
        <v>0</v>
      </c>
      <c r="P126">
        <f t="shared" si="35"/>
        <v>0</v>
      </c>
      <c r="AK126" s="25"/>
      <c r="AL126" s="25"/>
    </row>
    <row r="127" spans="1:38" ht="14.25">
      <c r="A127">
        <f t="shared" si="37"/>
        <v>80</v>
      </c>
      <c r="B127" s="2">
        <f t="shared" si="36"/>
        <v>0.15790000000000004</v>
      </c>
      <c r="C127" s="2">
        <f t="shared" si="24"/>
        <v>1</v>
      </c>
      <c r="E127" s="2">
        <f t="shared" si="25"/>
        <v>0.9875596745282494</v>
      </c>
      <c r="F127" s="2">
        <f t="shared" si="23"/>
        <v>0.15724467954642568</v>
      </c>
      <c r="G127" s="2">
        <f t="shared" si="26"/>
        <v>0.2833592702352662</v>
      </c>
      <c r="H127" s="2">
        <f t="shared" si="27"/>
        <v>-0.5527565814338622</v>
      </c>
      <c r="I127" s="2">
        <f t="shared" si="30"/>
        <v>0.619219165209473</v>
      </c>
      <c r="J127" s="2">
        <f t="shared" si="31"/>
        <v>0.048989180274790795</v>
      </c>
      <c r="K127" s="3">
        <f t="shared" si="32"/>
        <v>285.7978495980247</v>
      </c>
      <c r="L127" s="2">
        <f t="shared" si="28"/>
        <v>8.050643650648583</v>
      </c>
      <c r="M127" s="2">
        <f t="shared" si="33"/>
        <v>22.610738108160525</v>
      </c>
      <c r="N127">
        <f t="shared" si="29"/>
        <v>0</v>
      </c>
      <c r="O127">
        <f t="shared" si="34"/>
        <v>0</v>
      </c>
      <c r="P127">
        <f t="shared" si="35"/>
        <v>0</v>
      </c>
      <c r="AK127" s="25"/>
      <c r="AL127" s="25"/>
    </row>
    <row r="128" spans="1:38" ht="14.25">
      <c r="A128">
        <f t="shared" si="37"/>
        <v>81</v>
      </c>
      <c r="B128" s="2">
        <f t="shared" si="36"/>
        <v>0.15000500000000005</v>
      </c>
      <c r="C128" s="2">
        <f t="shared" si="24"/>
        <v>1</v>
      </c>
      <c r="E128" s="2">
        <f t="shared" si="25"/>
        <v>0.9887703307330202</v>
      </c>
      <c r="F128" s="2">
        <f t="shared" si="23"/>
        <v>0.14944307632712095</v>
      </c>
      <c r="G128" s="2">
        <f t="shared" si="26"/>
        <v>0.284569926440037</v>
      </c>
      <c r="H128" s="2">
        <f t="shared" si="27"/>
        <v>-0.560558184653167</v>
      </c>
      <c r="I128" s="2">
        <f t="shared" si="30"/>
        <v>0.6268863595315746</v>
      </c>
      <c r="J128" s="2">
        <f t="shared" si="31"/>
        <v>0.047106407727521754</v>
      </c>
      <c r="K128" s="3">
        <f t="shared" si="32"/>
        <v>289.3366090112052</v>
      </c>
      <c r="L128" s="2">
        <f t="shared" si="28"/>
        <v>8.150327014400146</v>
      </c>
      <c r="M128" s="2">
        <f t="shared" si="33"/>
        <v>21.74175281906719</v>
      </c>
      <c r="N128">
        <f t="shared" si="29"/>
        <v>0</v>
      </c>
      <c r="O128">
        <f t="shared" si="34"/>
        <v>0</v>
      </c>
      <c r="P128">
        <f t="shared" si="35"/>
        <v>0</v>
      </c>
      <c r="AK128" s="25"/>
      <c r="AL128" s="25"/>
    </row>
    <row r="129" spans="1:38" ht="14.25">
      <c r="A129">
        <f t="shared" si="37"/>
        <v>82</v>
      </c>
      <c r="B129" s="2">
        <f t="shared" si="36"/>
        <v>0.14211000000000007</v>
      </c>
      <c r="C129" s="2">
        <f t="shared" si="24"/>
        <v>1</v>
      </c>
      <c r="E129" s="2">
        <f t="shared" si="25"/>
        <v>0.9899193561897136</v>
      </c>
      <c r="F129" s="2">
        <f t="shared" si="23"/>
        <v>0.14163215821607367</v>
      </c>
      <c r="G129" s="2">
        <f t="shared" si="26"/>
        <v>0.28571895189673036</v>
      </c>
      <c r="H129" s="2">
        <f t="shared" si="27"/>
        <v>-0.5683691027642143</v>
      </c>
      <c r="I129" s="2">
        <f t="shared" si="30"/>
        <v>0.6345384505680355</v>
      </c>
      <c r="J129" s="2">
        <f t="shared" si="31"/>
        <v>0.04516316198718667</v>
      </c>
      <c r="K129" s="3">
        <f t="shared" si="32"/>
        <v>292.86839757012206</v>
      </c>
      <c r="L129" s="2">
        <f t="shared" si="28"/>
        <v>8.249814016059776</v>
      </c>
      <c r="M129" s="2">
        <f t="shared" si="33"/>
        <v>20.84485639687649</v>
      </c>
      <c r="N129">
        <f t="shared" si="29"/>
        <v>0</v>
      </c>
      <c r="O129">
        <f t="shared" si="34"/>
        <v>0</v>
      </c>
      <c r="P129">
        <f t="shared" si="35"/>
        <v>0</v>
      </c>
      <c r="AK129" s="25"/>
      <c r="AL129" s="25"/>
    </row>
    <row r="130" spans="1:38" ht="14.25">
      <c r="A130">
        <f t="shared" si="37"/>
        <v>83</v>
      </c>
      <c r="B130" s="2">
        <f t="shared" si="36"/>
        <v>0.13421500000000008</v>
      </c>
      <c r="C130" s="2">
        <f t="shared" si="24"/>
        <v>1</v>
      </c>
      <c r="E130" s="2">
        <f t="shared" si="25"/>
        <v>0.991006679278767</v>
      </c>
      <c r="F130" s="2">
        <f t="shared" si="23"/>
        <v>0.13381241207328695</v>
      </c>
      <c r="G130" s="2">
        <f t="shared" si="26"/>
        <v>0.2868062749857837</v>
      </c>
      <c r="H130" s="2">
        <f t="shared" si="27"/>
        <v>-0.576188848907001</v>
      </c>
      <c r="I130" s="2">
        <f t="shared" si="30"/>
        <v>0.6421749613586554</v>
      </c>
      <c r="J130" s="2">
        <f t="shared" si="31"/>
        <v>0.04315956417765493</v>
      </c>
      <c r="K130" s="3">
        <f t="shared" si="32"/>
        <v>296.39299513591766</v>
      </c>
      <c r="L130" s="2">
        <f t="shared" si="28"/>
        <v>8.349098454532893</v>
      </c>
      <c r="M130" s="2">
        <f t="shared" si="33"/>
        <v>19.920104745771223</v>
      </c>
      <c r="N130">
        <f t="shared" si="29"/>
        <v>0</v>
      </c>
      <c r="O130">
        <f t="shared" si="34"/>
        <v>0</v>
      </c>
      <c r="P130">
        <f t="shared" si="35"/>
        <v>0</v>
      </c>
      <c r="AK130" s="25"/>
      <c r="AL130" s="25"/>
    </row>
    <row r="131" spans="1:38" ht="14.25">
      <c r="A131">
        <f t="shared" si="37"/>
        <v>84</v>
      </c>
      <c r="B131" s="2">
        <f t="shared" si="36"/>
        <v>0.1263200000000001</v>
      </c>
      <c r="C131" s="2">
        <f t="shared" si="24"/>
        <v>1</v>
      </c>
      <c r="E131" s="2">
        <f t="shared" si="25"/>
        <v>0.9920322322265697</v>
      </c>
      <c r="F131" s="2">
        <f t="shared" si="23"/>
        <v>0.12598432530902143</v>
      </c>
      <c r="G131" s="2">
        <f t="shared" si="26"/>
        <v>0.2878318279335864</v>
      </c>
      <c r="H131" s="2">
        <f t="shared" si="27"/>
        <v>-0.5840169356712666</v>
      </c>
      <c r="I131" s="2">
        <f t="shared" si="30"/>
        <v>0.649795415914362</v>
      </c>
      <c r="J131" s="2">
        <f t="shared" si="31"/>
        <v>0.04109573918458301</v>
      </c>
      <c r="K131" s="3">
        <f t="shared" si="32"/>
        <v>299.91018201795424</v>
      </c>
      <c r="L131" s="2">
        <f t="shared" si="28"/>
        <v>8.448174141350824</v>
      </c>
      <c r="M131" s="2">
        <f t="shared" si="33"/>
        <v>18.96755550617028</v>
      </c>
      <c r="N131">
        <f t="shared" si="29"/>
        <v>0</v>
      </c>
      <c r="O131">
        <f t="shared" si="34"/>
        <v>0</v>
      </c>
      <c r="P131">
        <f t="shared" si="35"/>
        <v>0</v>
      </c>
      <c r="AK131" s="25"/>
      <c r="AL131" s="25"/>
    </row>
    <row r="132" spans="1:38" ht="14.25">
      <c r="A132">
        <f t="shared" si="37"/>
        <v>85</v>
      </c>
      <c r="B132" s="2">
        <f t="shared" si="36"/>
        <v>0.118425</v>
      </c>
      <c r="C132" s="2">
        <f t="shared" si="24"/>
        <v>1</v>
      </c>
      <c r="E132" s="2">
        <f t="shared" si="25"/>
        <v>0.9929959511096874</v>
      </c>
      <c r="F132" s="2">
        <f t="shared" si="23"/>
        <v>0.11814838585341433</v>
      </c>
      <c r="G132" s="2">
        <f t="shared" si="26"/>
        <v>0.28879554681670416</v>
      </c>
      <c r="H132" s="2">
        <f t="shared" si="27"/>
        <v>-0.5918528751268736</v>
      </c>
      <c r="I132" s="2">
        <f t="shared" si="30"/>
        <v>0.6573993392468789</v>
      </c>
      <c r="J132" s="2">
        <f t="shared" si="31"/>
        <v>0.038971815647630054</v>
      </c>
      <c r="K132" s="3">
        <f t="shared" si="32"/>
        <v>303.41973898750706</v>
      </c>
      <c r="L132" s="2">
        <f t="shared" si="28"/>
        <v>8.547034901056538</v>
      </c>
      <c r="M132" s="2">
        <f t="shared" si="33"/>
        <v>17.98726805113578</v>
      </c>
      <c r="N132">
        <f t="shared" si="29"/>
        <v>0</v>
      </c>
      <c r="O132">
        <f t="shared" si="34"/>
        <v>0</v>
      </c>
      <c r="P132">
        <f t="shared" si="35"/>
        <v>0</v>
      </c>
      <c r="AK132" s="25"/>
      <c r="AL132" s="25"/>
    </row>
    <row r="133" spans="1:38" ht="14.25">
      <c r="A133">
        <f t="shared" si="37"/>
        <v>86</v>
      </c>
      <c r="B133" s="2">
        <f t="shared" si="36"/>
        <v>0.11053000000000002</v>
      </c>
      <c r="C133" s="2">
        <f t="shared" si="24"/>
        <v>1</v>
      </c>
      <c r="E133" s="2">
        <f t="shared" si="25"/>
        <v>0.9938977758588463</v>
      </c>
      <c r="F133" s="2">
        <f t="shared" si="23"/>
        <v>0.11030508212606702</v>
      </c>
      <c r="G133" s="2">
        <f t="shared" si="26"/>
        <v>0.28969737156586306</v>
      </c>
      <c r="H133" s="2">
        <f t="shared" si="27"/>
        <v>-0.5996961788542209</v>
      </c>
      <c r="I133" s="2">
        <f t="shared" si="30"/>
        <v>0.6649862573983324</v>
      </c>
      <c r="J133" s="2">
        <f t="shared" si="31"/>
        <v>0.03678792595243943</v>
      </c>
      <c r="K133" s="3">
        <f t="shared" si="32"/>
        <v>306.92144729142905</v>
      </c>
      <c r="L133" s="2">
        <f t="shared" si="28"/>
        <v>8.64567457158955</v>
      </c>
      <c r="M133" s="2">
        <f t="shared" si="33"/>
        <v>16.979303482672165</v>
      </c>
      <c r="N133">
        <f t="shared" si="29"/>
        <v>0</v>
      </c>
      <c r="O133">
        <f t="shared" si="34"/>
        <v>0</v>
      </c>
      <c r="P133">
        <f t="shared" si="35"/>
        <v>0</v>
      </c>
      <c r="AK133" s="25"/>
      <c r="AL133" s="25"/>
    </row>
    <row r="134" spans="1:38" ht="14.25">
      <c r="A134">
        <f t="shared" si="37"/>
        <v>87</v>
      </c>
      <c r="B134" s="2">
        <f t="shared" si="36"/>
        <v>0.10263500000000003</v>
      </c>
      <c r="C134" s="2">
        <f t="shared" si="24"/>
        <v>1</v>
      </c>
      <c r="E134" s="2">
        <f t="shared" si="25"/>
        <v>0.9947376502626776</v>
      </c>
      <c r="F134" s="2">
        <f t="shared" si="23"/>
        <v>0.1024549030056007</v>
      </c>
      <c r="G134" s="2">
        <f t="shared" si="26"/>
        <v>0.2905372459696943</v>
      </c>
      <c r="H134" s="2">
        <f t="shared" si="27"/>
        <v>-0.6075463579746873</v>
      </c>
      <c r="I134" s="2">
        <f t="shared" si="30"/>
        <v>0.6725556974707944</v>
      </c>
      <c r="J134" s="2">
        <f t="shared" si="31"/>
        <v>0.03454420622238741</v>
      </c>
      <c r="K134" s="3">
        <f t="shared" si="32"/>
        <v>310.41508866578624</v>
      </c>
      <c r="L134" s="2">
        <f t="shared" si="28"/>
        <v>8.744087004670035</v>
      </c>
      <c r="M134" s="2">
        <f t="shared" si="33"/>
        <v>15.94372462791788</v>
      </c>
      <c r="N134">
        <f t="shared" si="29"/>
        <v>0</v>
      </c>
      <c r="O134">
        <f t="shared" si="34"/>
        <v>0</v>
      </c>
      <c r="P134">
        <f t="shared" si="35"/>
        <v>0</v>
      </c>
      <c r="AK134" s="25"/>
      <c r="AL134" s="25"/>
    </row>
    <row r="135" spans="1:38" ht="14.25">
      <c r="A135">
        <f t="shared" si="37"/>
        <v>88</v>
      </c>
      <c r="B135" s="2">
        <f t="shared" si="36"/>
        <v>0.09474000000000005</v>
      </c>
      <c r="C135" s="2">
        <f t="shared" si="24"/>
        <v>1</v>
      </c>
      <c r="E135" s="2">
        <f t="shared" si="25"/>
        <v>0.9955155219712204</v>
      </c>
      <c r="F135" s="2">
        <f t="shared" si="23"/>
        <v>0.09459833779918482</v>
      </c>
      <c r="G135" s="2">
        <f t="shared" si="26"/>
        <v>0.29131511767823715</v>
      </c>
      <c r="H135" s="2">
        <f t="shared" si="27"/>
        <v>-0.6154029231811031</v>
      </c>
      <c r="I135" s="2">
        <f t="shared" si="30"/>
        <v>0.6801071876557566</v>
      </c>
      <c r="J135" s="2">
        <f t="shared" si="31"/>
        <v>0.03224079631009796</v>
      </c>
      <c r="K135" s="3">
        <f t="shared" si="32"/>
        <v>313.90044534946173</v>
      </c>
      <c r="L135" s="2">
        <f t="shared" si="28"/>
        <v>8.84226606618202</v>
      </c>
      <c r="M135" s="2">
        <f t="shared" si="33"/>
        <v>14.880596035229052</v>
      </c>
      <c r="N135">
        <f t="shared" si="29"/>
        <v>0</v>
      </c>
      <c r="O135">
        <f t="shared" si="34"/>
        <v>0</v>
      </c>
      <c r="P135">
        <f t="shared" si="35"/>
        <v>0</v>
      </c>
      <c r="AK135" s="25"/>
      <c r="AL135" s="25"/>
    </row>
    <row r="136" spans="1:38" ht="14.25">
      <c r="A136">
        <f t="shared" si="37"/>
        <v>89</v>
      </c>
      <c r="B136" s="2">
        <f t="shared" si="36"/>
        <v>0.08684500000000006</v>
      </c>
      <c r="C136" s="2">
        <f t="shared" si="24"/>
        <v>1</v>
      </c>
      <c r="E136" s="2">
        <f t="shared" si="25"/>
        <v>0.9962313424991858</v>
      </c>
      <c r="F136" s="2">
        <f t="shared" si="23"/>
        <v>0.086735876212038</v>
      </c>
      <c r="G136" s="2">
        <f t="shared" si="26"/>
        <v>0.2920309382062025</v>
      </c>
      <c r="H136" s="2">
        <f t="shared" si="27"/>
        <v>-0.6232653847682499</v>
      </c>
      <c r="I136" s="2">
        <f t="shared" si="30"/>
        <v>0.6876402572635408</v>
      </c>
      <c r="J136" s="2">
        <f t="shared" si="31"/>
        <v>0.029877839788726185</v>
      </c>
      <c r="K136" s="3">
        <f t="shared" si="32"/>
        <v>317.3773000977295</v>
      </c>
      <c r="L136" s="2">
        <f t="shared" si="28"/>
        <v>8.94020563655576</v>
      </c>
      <c r="M136" s="2">
        <f t="shared" si="33"/>
        <v>13.789983970156374</v>
      </c>
      <c r="N136">
        <f t="shared" si="29"/>
        <v>0</v>
      </c>
      <c r="O136">
        <f t="shared" si="34"/>
        <v>0</v>
      </c>
      <c r="P136">
        <f t="shared" si="35"/>
        <v>0</v>
      </c>
      <c r="AK136" s="25"/>
      <c r="AL136" s="25"/>
    </row>
    <row r="137" spans="1:38" ht="14.25">
      <c r="A137">
        <f t="shared" si="37"/>
        <v>90</v>
      </c>
      <c r="B137" s="2">
        <f t="shared" si="36"/>
        <v>0.07895000000000008</v>
      </c>
      <c r="C137" s="2">
        <f t="shared" si="24"/>
        <v>1</v>
      </c>
      <c r="E137" s="2">
        <f t="shared" si="25"/>
        <v>0.9968850672289784</v>
      </c>
      <c r="F137" s="2">
        <f t="shared" si="23"/>
        <v>0.07886800831690442</v>
      </c>
      <c r="G137" s="2">
        <f t="shared" si="26"/>
        <v>0.29268466293599515</v>
      </c>
      <c r="H137" s="2">
        <f t="shared" si="27"/>
        <v>-0.6311332526633835</v>
      </c>
      <c r="I137" s="2">
        <f t="shared" si="30"/>
        <v>0.695154436752636</v>
      </c>
      <c r="J137" s="2">
        <f t="shared" si="31"/>
        <v>0.027455483943009146</v>
      </c>
      <c r="K137" s="3">
        <f t="shared" si="32"/>
        <v>320.84543619579506</v>
      </c>
      <c r="L137" s="2">
        <f t="shared" si="28"/>
        <v>9.037899611149157</v>
      </c>
      <c r="M137" s="2">
        <f t="shared" si="33"/>
        <v>12.671956411314687</v>
      </c>
      <c r="N137">
        <f t="shared" si="29"/>
        <v>0</v>
      </c>
      <c r="O137">
        <f t="shared" si="34"/>
        <v>0</v>
      </c>
      <c r="P137">
        <f t="shared" si="35"/>
        <v>0</v>
      </c>
      <c r="AK137" s="25"/>
      <c r="AL137" s="25"/>
    </row>
    <row r="138" spans="1:38" ht="14.25">
      <c r="A138">
        <f t="shared" si="37"/>
        <v>91</v>
      </c>
      <c r="B138" s="2">
        <f t="shared" si="36"/>
        <v>0.07105500000000009</v>
      </c>
      <c r="C138" s="2">
        <f t="shared" si="24"/>
        <v>1</v>
      </c>
      <c r="E138" s="2">
        <f t="shared" si="25"/>
        <v>0.9974766554134772</v>
      </c>
      <c r="F138" s="2">
        <f t="shared" si="23"/>
        <v>0.07099522452350725</v>
      </c>
      <c r="G138" s="2">
        <f t="shared" si="26"/>
        <v>0.29327625112049394</v>
      </c>
      <c r="H138" s="2">
        <f t="shared" si="27"/>
        <v>-0.6390060364567807</v>
      </c>
      <c r="I138" s="2">
        <f t="shared" si="30"/>
        <v>0.7026492577589648</v>
      </c>
      <c r="J138" s="2">
        <f t="shared" si="31"/>
        <v>0.02497387976008522</v>
      </c>
      <c r="K138" s="3">
        <f t="shared" si="32"/>
        <v>324.3046374723031</v>
      </c>
      <c r="L138" s="2">
        <f t="shared" si="28"/>
        <v>9.135341900628257</v>
      </c>
      <c r="M138" s="2">
        <f t="shared" si="33"/>
        <v>11.526583046145676</v>
      </c>
      <c r="N138">
        <f t="shared" si="29"/>
        <v>0</v>
      </c>
      <c r="O138">
        <f t="shared" si="34"/>
        <v>0</v>
      </c>
      <c r="P138">
        <f t="shared" si="35"/>
        <v>0</v>
      </c>
      <c r="AK138" s="25"/>
      <c r="AL138" s="25"/>
    </row>
    <row r="139" spans="1:38" ht="14.25">
      <c r="A139">
        <f t="shared" si="37"/>
        <v>92</v>
      </c>
      <c r="B139" s="2">
        <f t="shared" si="36"/>
        <v>0.06316</v>
      </c>
      <c r="C139" s="2">
        <f t="shared" si="24"/>
        <v>1</v>
      </c>
      <c r="E139" s="2">
        <f t="shared" si="25"/>
        <v>0.998006070178576</v>
      </c>
      <c r="F139" s="2">
        <f t="shared" si="23"/>
        <v>0.06311801554798088</v>
      </c>
      <c r="G139" s="2">
        <f t="shared" si="26"/>
        <v>0.29380566588559276</v>
      </c>
      <c r="H139" s="2">
        <f t="shared" si="27"/>
        <v>-0.646883245432307</v>
      </c>
      <c r="I139" s="2">
        <f t="shared" si="30"/>
        <v>0.7101242531250791</v>
      </c>
      <c r="J139" s="2">
        <f t="shared" si="31"/>
        <v>0.02243318192008345</v>
      </c>
      <c r="K139" s="3">
        <f t="shared" si="32"/>
        <v>327.75468831281285</v>
      </c>
      <c r="L139" s="2">
        <f t="shared" si="28"/>
        <v>9.232526431346841</v>
      </c>
      <c r="M139" s="2">
        <f t="shared" si="33"/>
        <v>10.353935266574425</v>
      </c>
      <c r="N139">
        <f t="shared" si="29"/>
        <v>0</v>
      </c>
      <c r="O139">
        <f t="shared" si="34"/>
        <v>0</v>
      </c>
      <c r="P139">
        <f t="shared" si="35"/>
        <v>0</v>
      </c>
      <c r="AK139" s="25"/>
      <c r="AL139" s="25"/>
    </row>
    <row r="140" spans="1:38" ht="14.25">
      <c r="A140">
        <f t="shared" si="37"/>
        <v>93</v>
      </c>
      <c r="B140" s="2">
        <f t="shared" si="36"/>
        <v>0.05526500000000001</v>
      </c>
      <c r="C140" s="2">
        <f t="shared" si="24"/>
        <v>1</v>
      </c>
      <c r="E140" s="2">
        <f t="shared" si="25"/>
        <v>0.9984732785254812</v>
      </c>
      <c r="F140" s="2">
        <f t="shared" si="23"/>
        <v>0.05523687238228479</v>
      </c>
      <c r="G140" s="2">
        <f t="shared" si="26"/>
        <v>0.2942728742324979</v>
      </c>
      <c r="H140" s="2">
        <f t="shared" si="27"/>
        <v>-0.6547643885980031</v>
      </c>
      <c r="I140" s="2">
        <f t="shared" si="30"/>
        <v>0.7175789569292751</v>
      </c>
      <c r="J140" s="2">
        <f t="shared" si="31"/>
        <v>0.019833548786481747</v>
      </c>
      <c r="K140" s="3">
        <f t="shared" si="32"/>
        <v>331.19537367323557</v>
      </c>
      <c r="L140" s="2">
        <f t="shared" si="28"/>
        <v>9.329447145724945</v>
      </c>
      <c r="M140" s="2">
        <f t="shared" si="33"/>
        <v>9.154086164559299</v>
      </c>
      <c r="N140">
        <f t="shared" si="29"/>
        <v>0</v>
      </c>
      <c r="O140">
        <f t="shared" si="34"/>
        <v>0</v>
      </c>
      <c r="P140">
        <f t="shared" si="35"/>
        <v>0</v>
      </c>
      <c r="AK140" s="25"/>
      <c r="AL140" s="25"/>
    </row>
    <row r="141" spans="1:38" ht="14.25">
      <c r="A141">
        <f t="shared" si="37"/>
        <v>94</v>
      </c>
      <c r="B141" s="2">
        <f t="shared" si="36"/>
        <v>0.04737000000000002</v>
      </c>
      <c r="C141" s="2">
        <f t="shared" si="24"/>
        <v>1</v>
      </c>
      <c r="E141" s="2">
        <f t="shared" si="25"/>
        <v>0.9988782513327689</v>
      </c>
      <c r="F141" s="2">
        <f t="shared" si="23"/>
        <v>0.04735228626359895</v>
      </c>
      <c r="G141" s="2">
        <f t="shared" si="26"/>
        <v>0.2946778470397856</v>
      </c>
      <c r="H141" s="2">
        <f t="shared" si="27"/>
        <v>-0.6626489747166889</v>
      </c>
      <c r="I141" s="2">
        <f t="shared" si="30"/>
        <v>0.7250129045146377</v>
      </c>
      <c r="J141" s="2">
        <f t="shared" si="31"/>
        <v>0.017175142396236465</v>
      </c>
      <c r="K141" s="3">
        <f t="shared" si="32"/>
        <v>334.6264790932404</v>
      </c>
      <c r="L141" s="2">
        <f t="shared" si="28"/>
        <v>9.42609800262649</v>
      </c>
      <c r="M141" s="2">
        <f t="shared" si="33"/>
        <v>7.92711052753629</v>
      </c>
      <c r="N141">
        <f t="shared" si="29"/>
        <v>0</v>
      </c>
      <c r="O141">
        <f t="shared" si="34"/>
        <v>0</v>
      </c>
      <c r="P141">
        <f t="shared" si="35"/>
        <v>0</v>
      </c>
      <c r="AK141" s="25"/>
      <c r="AL141" s="25"/>
    </row>
    <row r="142" spans="1:38" ht="14.25">
      <c r="A142">
        <f t="shared" si="37"/>
        <v>95</v>
      </c>
      <c r="B142" s="2">
        <f t="shared" si="36"/>
        <v>0.03947500000000004</v>
      </c>
      <c r="C142" s="2">
        <f t="shared" si="24"/>
        <v>1</v>
      </c>
      <c r="E142" s="2">
        <f t="shared" si="25"/>
        <v>0.9992209633582</v>
      </c>
      <c r="F142" s="2">
        <f aca="true" t="shared" si="38" ref="F142:F148">C142*SIN(B142)</f>
        <v>0.03946474864370509</v>
      </c>
      <c r="G142" s="2">
        <f t="shared" si="26"/>
        <v>0.29502055906521674</v>
      </c>
      <c r="H142" s="2">
        <f t="shared" si="27"/>
        <v>-0.6705365123365828</v>
      </c>
      <c r="I142" s="2">
        <f t="shared" si="30"/>
        <v>0.732425632518001</v>
      </c>
      <c r="J142" s="2">
        <f t="shared" si="31"/>
        <v>0.014458128449681917</v>
      </c>
      <c r="K142" s="3">
        <f t="shared" si="32"/>
        <v>338.04779070962036</v>
      </c>
      <c r="L142" s="2">
        <f t="shared" si="28"/>
        <v>9.522472977735784</v>
      </c>
      <c r="M142" s="2">
        <f t="shared" si="33"/>
        <v>6.673084833757178</v>
      </c>
      <c r="N142">
        <f t="shared" si="29"/>
        <v>0</v>
      </c>
      <c r="O142">
        <f t="shared" si="34"/>
        <v>0</v>
      </c>
      <c r="P142">
        <f t="shared" si="35"/>
        <v>0</v>
      </c>
      <c r="AK142" s="25"/>
      <c r="AL142" s="25"/>
    </row>
    <row r="143" spans="1:38" ht="14.25">
      <c r="A143">
        <f t="shared" si="37"/>
        <v>96</v>
      </c>
      <c r="B143" s="2">
        <f t="shared" si="36"/>
        <v>0.03158000000000005</v>
      </c>
      <c r="C143" s="2">
        <f t="shared" si="24"/>
        <v>1</v>
      </c>
      <c r="E143" s="2">
        <f t="shared" si="25"/>
        <v>0.9995013932402936</v>
      </c>
      <c r="F143" s="2">
        <f t="shared" si="38"/>
        <v>0.0315747511583541</v>
      </c>
      <c r="G143" s="2">
        <f t="shared" si="26"/>
        <v>0.2953009889473104</v>
      </c>
      <c r="H143" s="2">
        <f t="shared" si="27"/>
        <v>-0.6784265098219339</v>
      </c>
      <c r="I143" s="2">
        <f t="shared" si="30"/>
        <v>0.7398166788988301</v>
      </c>
      <c r="J143" s="2">
        <f t="shared" si="31"/>
        <v>0.011682676300202643</v>
      </c>
      <c r="K143" s="3">
        <f t="shared" si="32"/>
        <v>341.45909526962316</v>
      </c>
      <c r="L143" s="2">
        <f t="shared" si="28"/>
        <v>9.618566063933047</v>
      </c>
      <c r="M143" s="2">
        <f t="shared" si="33"/>
        <v>5.392087247522816</v>
      </c>
      <c r="N143">
        <f t="shared" si="29"/>
        <v>0</v>
      </c>
      <c r="O143">
        <f t="shared" si="34"/>
        <v>0</v>
      </c>
      <c r="P143">
        <f t="shared" si="35"/>
        <v>0</v>
      </c>
      <c r="AK143" s="25"/>
      <c r="AL143" s="25"/>
    </row>
    <row r="144" spans="1:38" ht="14.25">
      <c r="A144">
        <f t="shared" si="37"/>
        <v>97</v>
      </c>
      <c r="B144" s="2">
        <f t="shared" si="36"/>
        <v>0.023685000000000067</v>
      </c>
      <c r="C144" s="2">
        <f t="shared" si="24"/>
        <v>1</v>
      </c>
      <c r="E144" s="2">
        <f t="shared" si="25"/>
        <v>0.9997195234996586</v>
      </c>
      <c r="F144" s="2">
        <f t="shared" si="38"/>
        <v>0.023682785596622007</v>
      </c>
      <c r="G144" s="2">
        <f t="shared" si="26"/>
        <v>0.2955191192066754</v>
      </c>
      <c r="H144" s="2">
        <f t="shared" si="27"/>
        <v>-0.686318475383666</v>
      </c>
      <c r="I144" s="2">
        <f t="shared" si="30"/>
        <v>0.7471855829680214</v>
      </c>
      <c r="J144" s="2">
        <f t="shared" si="31"/>
        <v>0.008848958943677432</v>
      </c>
      <c r="K144" s="3">
        <f t="shared" si="32"/>
        <v>344.8601801442436</v>
      </c>
      <c r="L144" s="2">
        <f t="shared" si="28"/>
        <v>9.714371271668835</v>
      </c>
      <c r="M144" s="2">
        <f t="shared" si="33"/>
        <v>4.084197614311064</v>
      </c>
      <c r="N144">
        <f t="shared" si="29"/>
        <v>0</v>
      </c>
      <c r="O144">
        <f t="shared" si="34"/>
        <v>0</v>
      </c>
      <c r="P144">
        <f t="shared" si="35"/>
        <v>0</v>
      </c>
      <c r="AK144" s="25"/>
      <c r="AL144" s="25"/>
    </row>
    <row r="145" spans="1:38" ht="14.25">
      <c r="A145">
        <f t="shared" si="37"/>
        <v>98</v>
      </c>
      <c r="B145" s="2">
        <f t="shared" si="36"/>
        <v>0.015790000000000082</v>
      </c>
      <c r="C145" s="2">
        <f t="shared" si="24"/>
        <v>1</v>
      </c>
      <c r="E145" s="2">
        <f t="shared" si="25"/>
        <v>0.999875340540083</v>
      </c>
      <c r="F145" s="2">
        <f t="shared" si="38"/>
        <v>0.015789343870256416</v>
      </c>
      <c r="G145" s="2">
        <f t="shared" si="26"/>
        <v>0.29567493624709973</v>
      </c>
      <c r="H145" s="2">
        <f t="shared" si="27"/>
        <v>-0.6942119171100315</v>
      </c>
      <c r="I145" s="2">
        <f t="shared" si="30"/>
        <v>0.7545318854166168</v>
      </c>
      <c r="J145" s="2">
        <f t="shared" si="31"/>
        <v>0.005957153007696281</v>
      </c>
      <c r="K145" s="3">
        <f t="shared" si="32"/>
        <v>348.25083334147627</v>
      </c>
      <c r="L145" s="2">
        <f t="shared" si="28"/>
        <v>9.809882629337359</v>
      </c>
      <c r="M145" s="2">
        <f t="shared" si="33"/>
        <v>2.7494974557999297</v>
      </c>
      <c r="N145">
        <f t="shared" si="29"/>
        <v>0</v>
      </c>
      <c r="O145">
        <f t="shared" si="34"/>
        <v>0</v>
      </c>
      <c r="P145">
        <f t="shared" si="35"/>
        <v>0</v>
      </c>
      <c r="AK145" s="25"/>
      <c r="AL145" s="25"/>
    </row>
    <row r="146" spans="1:38" ht="14.25">
      <c r="A146">
        <f t="shared" si="37"/>
        <v>99</v>
      </c>
      <c r="B146" s="2">
        <f t="shared" si="36"/>
        <v>0.007895000000000096</v>
      </c>
      <c r="C146" s="2">
        <f t="shared" si="24"/>
        <v>1</v>
      </c>
      <c r="E146" s="2">
        <f t="shared" si="25"/>
        <v>0.9999688346493812</v>
      </c>
      <c r="F146" s="2">
        <f t="shared" si="38"/>
        <v>0.007894917983015311</v>
      </c>
      <c r="G146" s="2">
        <f t="shared" si="26"/>
        <v>0.295768430356398</v>
      </c>
      <c r="H146" s="2">
        <f t="shared" si="27"/>
        <v>-0.7021063429972726</v>
      </c>
      <c r="I146" s="2">
        <f t="shared" si="30"/>
        <v>0.7618551283444333</v>
      </c>
      <c r="J146" s="2">
        <f t="shared" si="31"/>
        <v>0.003007438740550872</v>
      </c>
      <c r="K146" s="3">
        <f t="shared" si="32"/>
        <v>351.63084351952995</v>
      </c>
      <c r="L146" s="2">
        <f t="shared" si="28"/>
        <v>9.90509418364873</v>
      </c>
      <c r="M146" s="2">
        <f t="shared" si="33"/>
        <v>1.3880699647861638</v>
      </c>
      <c r="N146">
        <f t="shared" si="29"/>
        <v>0</v>
      </c>
      <c r="O146">
        <f t="shared" si="34"/>
        <v>0</v>
      </c>
      <c r="P146">
        <f t="shared" si="35"/>
        <v>0</v>
      </c>
      <c r="AK146" s="25"/>
      <c r="AL146" s="25"/>
    </row>
    <row r="147" spans="1:38" ht="14.25">
      <c r="A147">
        <f t="shared" si="37"/>
        <v>100</v>
      </c>
      <c r="B147" s="2">
        <f t="shared" si="36"/>
        <v>0</v>
      </c>
      <c r="C147" s="2">
        <f t="shared" si="24"/>
        <v>1</v>
      </c>
      <c r="E147" s="2">
        <f t="shared" si="25"/>
        <v>1</v>
      </c>
      <c r="F147" s="2">
        <f t="shared" si="38"/>
        <v>0</v>
      </c>
      <c r="G147" s="2">
        <f t="shared" si="26"/>
        <v>0.29579959570701675</v>
      </c>
      <c r="H147" s="2">
        <f t="shared" si="27"/>
        <v>-0.7100012609802879</v>
      </c>
      <c r="I147" s="2">
        <f t="shared" si="30"/>
        <v>0.7691548552886041</v>
      </c>
      <c r="J147" s="2">
        <f t="shared" si="31"/>
        <v>0</v>
      </c>
      <c r="K147" s="3">
        <f t="shared" si="32"/>
        <v>355</v>
      </c>
      <c r="L147" s="2">
        <f t="shared" si="28"/>
        <v>10</v>
      </c>
      <c r="M147" s="2">
        <f t="shared" si="33"/>
        <v>0</v>
      </c>
      <c r="N147">
        <f t="shared" si="29"/>
        <v>0</v>
      </c>
      <c r="O147">
        <f t="shared" si="34"/>
        <v>0</v>
      </c>
      <c r="P147">
        <f t="shared" si="35"/>
        <v>0</v>
      </c>
      <c r="AK147" s="25"/>
      <c r="AL147" s="25"/>
    </row>
    <row r="148" spans="1:38" ht="14.25">
      <c r="A148">
        <f t="shared" si="37"/>
        <v>101</v>
      </c>
      <c r="B148" s="2">
        <f t="shared" si="36"/>
        <v>-0.007894999999999985</v>
      </c>
      <c r="C148" s="2">
        <f t="shared" si="24"/>
        <v>1</v>
      </c>
      <c r="E148" s="2">
        <f t="shared" si="25"/>
        <v>0.9999688346493812</v>
      </c>
      <c r="F148" s="2">
        <f t="shared" si="38"/>
        <v>-0.0078949179830152</v>
      </c>
      <c r="G148" s="2">
        <f t="shared" si="26"/>
        <v>0.295768430356398</v>
      </c>
      <c r="H148" s="2">
        <f t="shared" si="27"/>
        <v>-0.7178961789633032</v>
      </c>
      <c r="I148" s="2">
        <f>G148*$J$43+H148*$J$42</f>
        <v>0.7764306112520294</v>
      </c>
      <c r="J148" s="2">
        <f>H148*$J$43-G148*$J$42</f>
        <v>-0.0030649757581906467</v>
      </c>
      <c r="K148" s="3">
        <f>I148*$M$41</f>
        <v>358.3580927810003</v>
      </c>
      <c r="L148" s="2">
        <f t="shared" si="28"/>
        <v>10.09459416284508</v>
      </c>
      <c r="M148" s="2">
        <f>J148*$M$41</f>
        <v>-1.414625919184262</v>
      </c>
      <c r="AK148" s="25"/>
      <c r="AL148" s="25"/>
    </row>
    <row r="149" spans="14:16" ht="14.25">
      <c r="N149">
        <f>SUM(N47:N147)</f>
        <v>1</v>
      </c>
      <c r="O149">
        <f>SUM(O47:O147)</f>
        <v>177.49999999999997</v>
      </c>
      <c r="P149">
        <f>SUM(P47:P147)</f>
        <v>1</v>
      </c>
    </row>
  </sheetData>
  <printOptions/>
  <pageMargins left="0.25" right="0.25" top="0.33" bottom="0.33" header="0.17" footer="0.18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Lester Gilbert</dc:creator>
  <cp:keywords/>
  <dc:description/>
  <cp:lastModifiedBy>LG</cp:lastModifiedBy>
  <cp:lastPrinted>2000-10-28T20:24:19Z</cp:lastPrinted>
  <dcterms:created xsi:type="dcterms:W3CDTF">2000-10-20T19:47:44Z</dcterms:created>
  <dcterms:modified xsi:type="dcterms:W3CDTF">2003-12-14T10:33:28Z</dcterms:modified>
  <cp:category/>
  <cp:version/>
  <cp:contentType/>
  <cp:contentStatus/>
</cp:coreProperties>
</file>