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65521" windowWidth="9765" windowHeight="5205" activeTab="0"/>
  </bookViews>
  <sheets>
    <sheet name="DESIGN" sheetId="1" r:id="rId1"/>
    <sheet name="LINES" sheetId="2" r:id="rId2"/>
    <sheet name="ROCKER" sheetId="3" r:id="rId3"/>
    <sheet name="AREAS" sheetId="4" r:id="rId4"/>
    <sheet name="WATERPLANE" sheetId="5" r:id="rId5"/>
    <sheet name="METACENTRIC" sheetId="6" r:id="rId6"/>
  </sheets>
  <definedNames>
    <definedName name="__123Graph_A" hidden="1">'DESIGN'!$L$129:$L$139</definedName>
    <definedName name="__123Graph_AROCKER" hidden="1">'DESIGN'!$L$129:$L$139</definedName>
    <definedName name="__123Graph_AWATERPLANE" hidden="1">'DESIGN'!$L$129:$L$139</definedName>
    <definedName name="__123Graph_B" hidden="1">'DESIGN'!$M$129:$M$139</definedName>
    <definedName name="__123Graph_BROCKER" hidden="1">'DESIGN'!$M$129:$M$139</definedName>
    <definedName name="__123Graph_BWATERPLANE" hidden="1">'DESIGN'!$M$129:$M$139</definedName>
    <definedName name="__123Graph_X" hidden="1">'DESIGN'!$A$129:$A$139</definedName>
    <definedName name="__123Graph_XROCKER" hidden="1">'DESIGN'!$A$129:$A$139</definedName>
    <definedName name="__123Graph_XWATERPLANE" hidden="1">'DESIGN'!$A$129:$A$139</definedName>
    <definedName name="_Regression_Int" localSheetId="0" hidden="1">1</definedName>
    <definedName name="CosPhi">'DESIGN'!$I$126</definedName>
    <definedName name="CosTheta">'DESIGN'!$I$126</definedName>
    <definedName name="HeelPhi">'DESIGN'!$B$119</definedName>
    <definedName name="HeelTheta">'DESIGN'!$B$119</definedName>
    <definedName name="LCB">'DESIGN'!$K$89</definedName>
    <definedName name="MetaHt">'DESIGN'!$M$120</definedName>
    <definedName name="RightArm">'DESIGN'!$N$141</definedName>
    <definedName name="Rise">'DESIGN'!$F$119</definedName>
    <definedName name="SinPhi">'DESIGN'!$D$126</definedName>
    <definedName name="SinTheta">'DESIGN'!$D$126</definedName>
    <definedName name="SinTrim">'DESIGN'!$F$126</definedName>
    <definedName name="StnSpace">'DESIGN'!$C$72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<sst xmlns="http://schemas.openxmlformats.org/spreadsheetml/2006/main" count="190" uniqueCount="178">
  <si>
    <t>Design your own hull using circular arcs</t>
  </si>
  <si>
    <t>CONVENTIONS</t>
  </si>
  <si>
    <t>All lengths are in mm, all angles in degrees.  Areas in sq.cm, volumes in cu.cm.</t>
  </si>
  <si>
    <t>Required data entry cells are in red.  Optional data parameters are in light blue.</t>
  </si>
  <si>
    <t>The major calculated results are shown in green cells.</t>
  </si>
  <si>
    <t>It is assumed that the stem and transom both just touch the load waterline,</t>
  </si>
  <si>
    <t>ie neither immersed nor above the water level.  Some calculation inaccuracy otherwise occurs.</t>
  </si>
  <si>
    <t>METHOD</t>
  </si>
  <si>
    <t>The cross-section at each station is a circular arc.</t>
  </si>
  <si>
    <t>The centre of the arc's parent circle is placed at the "axis" point.</t>
  </si>
  <si>
    <t>The "axis" point is 0 for the stem, and the "axis ht" for the transom.  Other stations are distributed</t>
  </si>
  <si>
    <t>between these two extremes in some way;  five methods for "fA" are provided.</t>
  </si>
  <si>
    <t xml:space="preserve">1: circular arc.  The arc centres are distributed over a convex curve </t>
  </si>
  <si>
    <t>derived from the rocker arc of rocker method 1.</t>
  </si>
  <si>
    <t>2: linear increment.  The arc centres are distributed over a straight</t>
  </si>
  <si>
    <t>line between stem and transom.</t>
  </si>
  <si>
    <t>3: reverse parabolic.  The arc centres are distributed over a convex parabola</t>
  </si>
  <si>
    <t>derived from the rocker parabolic arc of rocker method 4.</t>
  </si>
  <si>
    <t>4: rev parab + linear.  The arc centres are distributed over a convex parabola</t>
  </si>
  <si>
    <t>derived from the rocker parabolic arc of rocker method 4, to which is added</t>
  </si>
  <si>
    <t>a linear trend.  The two are mixed in the proportions specified in the relevant cells.</t>
  </si>
  <si>
    <t>5: reverse hyperbolic.  The arc centres are distributed over a convex hyperbola</t>
  </si>
  <si>
    <t>derived from the rocker hyperbolic arc of rocker method 6.</t>
  </si>
  <si>
    <t>6: rev hyp + linear.  The arc centres are distributed over a convex hyperbola</t>
  </si>
  <si>
    <t>derived from the rocker hyperbolic arc of rocker method 6, to which is added</t>
  </si>
  <si>
    <t>The radius of an arc's parent circle is determined by the placement of its circle centre, the "axis",</t>
  </si>
  <si>
    <t>plus the desired draft or rocker of the hull at that station, "d".</t>
  </si>
  <si>
    <t>The rocker is calculated according to one of the following methods, ensuring</t>
  </si>
  <si>
    <t>that the specified maximum rocker draft is utilised.  The rocker "d" methods are:</t>
  </si>
  <si>
    <t>1: circular arc.  The rocker is a circular arc, whose radius is calculated</t>
  </si>
  <si>
    <t>to ensure that the specified maximum rocker draft is placed at station 5.</t>
  </si>
  <si>
    <t>2: (- nothing- an interim column for method 3)</t>
  </si>
  <si>
    <t>3: parabolic arc.  The rocker arc is derived from the segment of a parabola.</t>
  </si>
  <si>
    <t>The parabolic arc to be used starts with the value set as "param A" and</t>
  </si>
  <si>
    <t>ends with the value set as "param B".</t>
  </si>
  <si>
    <t>4: reversed parab.  The arc of method 3 usually places the max rocker forward of</t>
  </si>
  <si>
    <t>section 5.  This reverses the arc, placing max rocker draft aft of station 5.</t>
  </si>
  <si>
    <t>5: (- nothing- an inteim column for method 6)</t>
  </si>
  <si>
    <t>6: hyperbolic arc.  The rocker arc is derived from the segment of a hyperbola.</t>
  </si>
  <si>
    <t>The hyperbolic arc to be used starts with the value set as "param A" and</t>
  </si>
  <si>
    <t>7: reversed hyp.  The arc of method 6 usually places the max rocker forward of</t>
  </si>
  <si>
    <t>STATIC CALCULATIONS</t>
  </si>
  <si>
    <r>
      <t>Specify the rocker method</t>
    </r>
    <r>
      <rPr>
        <sz val="10"/>
        <rFont val="Courier"/>
        <family val="0"/>
      </rPr>
      <t>; the calculated rocker depths are placed at each station.</t>
    </r>
  </si>
  <si>
    <t>Change the rocker depth "d" values at each station to whatever other values you prefer.</t>
  </si>
  <si>
    <r>
      <t>Specify the axis method</t>
    </r>
    <r>
      <rPr>
        <sz val="10"/>
        <rFont val="Courier"/>
        <family val="0"/>
      </rPr>
      <t xml:space="preserve"> to distribute the arc centres on the axis; the arc radius "R" is calculated.</t>
    </r>
  </si>
  <si>
    <t>Change the "fA" function to distribute the axis heights to any other you prefer.  The function</t>
  </si>
  <si>
    <t>values must start at 0 for the stem.</t>
  </si>
  <si>
    <t>From the arc radius, the semi-beam at the waterline is calculated.  Double the value of "L" to obtain the beam.</t>
  </si>
  <si>
    <t>From the semi-beam and other measures, the area of the immersed arc is calculated as "Seg".</t>
  </si>
  <si>
    <t>RESULTS</t>
  </si>
  <si>
    <t>The wetted area is calculated from the girth (circumference) at each station.</t>
  </si>
  <si>
    <t>The volume or displacement of the hull body is calculated from the section immersed areas.</t>
  </si>
  <si>
    <t>The longitudinal centre of bouyancy is shown.  The value can be read as mm from the stem.</t>
  </si>
  <si>
    <t>The prismatic coeff is the ratio of the largest section area to the hull volume.</t>
  </si>
  <si>
    <t>LWL must be 1000 for an IOM</t>
  </si>
  <si>
    <t>Param A:</t>
  </si>
  <si>
    <t>Use</t>
  </si>
  <si>
    <t>for a Marblehead</t>
  </si>
  <si>
    <t>Param B:</t>
  </si>
  <si>
    <t>Mixing proportions</t>
  </si>
  <si>
    <t>a</t>
  </si>
  <si>
    <t>Axis ht:</t>
  </si>
  <si>
    <t>mm</t>
  </si>
  <si>
    <t>"fA" method:</t>
  </si>
  <si>
    <t>Max rocker:</t>
  </si>
  <si>
    <t>b</t>
  </si>
  <si>
    <t>LWL:</t>
  </si>
  <si>
    <t>"d" method:</t>
  </si>
  <si>
    <t>c</t>
  </si>
  <si>
    <t>Stn sp:</t>
  </si>
  <si>
    <t>inc</t>
  </si>
  <si>
    <t>------------ "d" method #: ------------</t>
  </si>
  <si>
    <t>--------- "fA" method #: --------</t>
  </si>
  <si>
    <t>Stn</t>
  </si>
  <si>
    <t>fA</t>
  </si>
  <si>
    <t>Axis</t>
  </si>
  <si>
    <t>d</t>
  </si>
  <si>
    <t>R</t>
  </si>
  <si>
    <t>L</t>
  </si>
  <si>
    <t>Th</t>
  </si>
  <si>
    <t>G</t>
  </si>
  <si>
    <t>Pie</t>
  </si>
  <si>
    <t>Seg</t>
  </si>
  <si>
    <t>Wtd</t>
  </si>
  <si>
    <t>[Accuracy</t>
  </si>
  <si>
    <t xml:space="preserve">  1%]</t>
  </si>
  <si>
    <t>Wetted area (cm^2)</t>
  </si>
  <si>
    <t>[.1%]</t>
  </si>
  <si>
    <t>Volume (cc)</t>
  </si>
  <si>
    <t>"d1": circular arc</t>
  </si>
  <si>
    <t>"fA1": circular arc</t>
  </si>
  <si>
    <t>[.3%]</t>
  </si>
  <si>
    <t>LCB (station)</t>
  </si>
  <si>
    <t>"d2": (- nothing-)</t>
  </si>
  <si>
    <t>"fA2": linear incr</t>
  </si>
  <si>
    <t>LCB from stem (mm)</t>
  </si>
  <si>
    <t>"d3": parabolic arc</t>
  </si>
  <si>
    <t>"fA3": reverse parabolic</t>
  </si>
  <si>
    <t>Prismatic coeff</t>
  </si>
  <si>
    <t>"d4": reversed parab</t>
  </si>
  <si>
    <t>"fA4": rev parab + linear</t>
  </si>
  <si>
    <t>Rocker "entry" angle at Stn.2</t>
  </si>
  <si>
    <t>"d5": (- nothing-)</t>
  </si>
  <si>
    <t>"fA5": reverse hyperbolic</t>
  </si>
  <si>
    <t>"d6": hyperbolic arc</t>
  </si>
  <si>
    <t>"fA6": rev hyperb + linear</t>
  </si>
  <si>
    <t>HEELED CALCULATIONS</t>
  </si>
  <si>
    <t>"d7": reversed hyp</t>
  </si>
  <si>
    <t>Boats with significant transom beam show a "slewed" waterplane;  the approximate angle of slew is calculated.</t>
  </si>
  <si>
    <t>The increased righting moment is calculated, relative to the length of the fin specified.</t>
  </si>
  <si>
    <t>GRAPHS</t>
  </si>
  <si>
    <t>LINES:  an approximate plot of the hull lines.  Change the sheerline if nesessary.</t>
  </si>
  <si>
    <t>ROCKER:  a plot of the rocker profile.</t>
  </si>
  <si>
    <t>Set heel to 0 for the following graphs to show the static (ie not heeled) design.</t>
  </si>
  <si>
    <t>AREAS:  a plot of the immersed section areas.</t>
  </si>
  <si>
    <t>WATERPLANE:  a plot of the waterplane.</t>
  </si>
  <si>
    <t>Vol</t>
  </si>
  <si>
    <t>LCB</t>
  </si>
  <si>
    <t>Est Meta-</t>
  </si>
  <si>
    <t>Heel:</t>
  </si>
  <si>
    <t>Flat</t>
  </si>
  <si>
    <t>centric ht</t>
  </si>
  <si>
    <t>Fin</t>
  </si>
  <si>
    <t>Trim (deg)</t>
  </si>
  <si>
    <t>Heeled</t>
  </si>
  <si>
    <t>Slew (approx)</t>
  </si>
  <si>
    <t>deg</t>
  </si>
  <si>
    <t>Righting increase</t>
  </si>
  <si>
    <t>(approx)</t>
  </si>
  <si>
    <t>Wet area chg</t>
  </si>
  <si>
    <t>Waterline beam</t>
  </si>
  <si>
    <t>HEELED</t>
  </si>
  <si>
    <t>d"</t>
  </si>
  <si>
    <t>L'</t>
  </si>
  <si>
    <t>Th'</t>
  </si>
  <si>
    <t>G'</t>
  </si>
  <si>
    <t>Pie'</t>
  </si>
  <si>
    <t>Seg'</t>
  </si>
  <si>
    <t>Stbd</t>
  </si>
  <si>
    <t>Port</t>
  </si>
  <si>
    <t>RM</t>
  </si>
  <si>
    <t>Wetted area</t>
  </si>
  <si>
    <t>(Used by 'calculate' macro)</t>
  </si>
  <si>
    <t>Sheerline</t>
  </si>
  <si>
    <t>R^2</t>
  </si>
  <si>
    <t>that is because Excel is struggling to draw something it wasn't designed to do!</t>
  </si>
  <si>
    <t>Rise (mm)</t>
  </si>
  <si>
    <r>
      <t xml:space="preserve">Then, </t>
    </r>
    <r>
      <rPr>
        <b/>
        <sz val="10"/>
        <rFont val="Courier"/>
        <family val="3"/>
      </rPr>
      <t>click both "Calculate" buttons</t>
    </r>
    <r>
      <rPr>
        <sz val="10"/>
        <rFont val="Courier"/>
        <family val="0"/>
      </rPr>
      <t>.  (Trim first, then Rise)</t>
    </r>
  </si>
  <si>
    <t>Sin(h)</t>
  </si>
  <si>
    <t>Sin(t)</t>
  </si>
  <si>
    <t>Cos(h)</t>
  </si>
  <si>
    <t>d' = R - Axis.Cos(Heel) + Rise</t>
  </si>
  <si>
    <t>d" = d' - Sin(Trim).StnGap(LCB-Stn)</t>
  </si>
  <si>
    <t>Estimated righting arm</t>
  </si>
  <si>
    <t>The change in wetted area should be modest for smaller heel angles, but significant for larger.</t>
  </si>
  <si>
    <t>moment</t>
  </si>
  <si>
    <t>centric</t>
  </si>
  <si>
    <t>Meta</t>
  </si>
  <si>
    <t>The "rise" macro brings the heeled volume to be similar to the static volume.</t>
  </si>
  <si>
    <t>The "trim" macro trims the hull longitudinally (-ve angle indicates "bows down").</t>
  </si>
  <si>
    <r>
      <t>Note:</t>
    </r>
    <r>
      <rPr>
        <sz val="10"/>
        <rFont val="Courier"/>
        <family val="0"/>
      </rPr>
      <t xml:space="preserve"> The trim applied makes the bows and transom equal in their height above or below</t>
    </r>
  </si>
  <si>
    <t>the heeled waterplane.  This is not very realistic.  If you don't like it, enter a trim value directly.</t>
  </si>
  <si>
    <t>Given "Trim" and "Rise", the heeled waterplane is calculated.  Its co-ordinates are shown.</t>
  </si>
  <si>
    <t>The estimated metacentric height should be quite stable and vary little with heel angle.</t>
  </si>
  <si>
    <t>Ver 3.0</t>
  </si>
  <si>
    <t>Calculates metacentric moments.</t>
  </si>
  <si>
    <t>To get the right volume, adjust the axis height or the maximum rocker.</t>
  </si>
  <si>
    <t>For a 4kg IOM, the volume should allow for about 220cc of appendage volumes, so aim for around 3780 cc.</t>
  </si>
  <si>
    <t>Enter the angle of heel.  (Max of 30deg for 'realistic' calculations.)</t>
  </si>
  <si>
    <t>The 'metacentric moments' are estimates.  Remember that all sections are arcs (no freeboard!)</t>
  </si>
  <si>
    <t>If you add or delete rows or columns, the 'calculate' macros will fail.</t>
  </si>
  <si>
    <t>The heeled displacement is obtained by raising the hull by the indicated amount from level.</t>
  </si>
  <si>
    <t>If some of the lines above the waterline (freeboard) seem "funny",</t>
  </si>
  <si>
    <t>To get a reasonable visual picture, size the graph so that</t>
  </si>
  <si>
    <t>the draft value 0 - 100 is the same size as a station increment (also 100 mm for an IOM)</t>
  </si>
  <si>
    <t>the WL beam value 0 - 100 is the same size as a station increment (also 100 mm for an IOM)</t>
  </si>
  <si>
    <t>These moments are arbitrary units, intended to be illustrative</t>
  </si>
  <si>
    <t>Requires macros to be enabled.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</si>
</sst>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.0_)"/>
    <numFmt numFmtId="166" formatCode="0_)"/>
    <numFmt numFmtId="167" formatCode="0.0%"/>
    <numFmt numFmtId="168" formatCode="0.0"/>
    <numFmt numFmtId="169" formatCode="0.0000"/>
    <numFmt numFmtId="170" formatCode="0.0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5"/>
      <name val="Courier"/>
      <family val="0"/>
    </font>
    <font>
      <b/>
      <sz val="10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Courier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165" fontId="0" fillId="4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167" fontId="0" fillId="4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8" fontId="0" fillId="4" borderId="0" xfId="0" applyNumberFormat="1" applyFill="1" applyAlignment="1" applyProtection="1">
      <alignment/>
      <protection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168" fontId="0" fillId="4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4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170" fontId="0" fillId="4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Approximate Hull Lines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625"/>
          <c:w val="0.96875"/>
          <c:h val="0.78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numRef>
              <c:f>LINES!$E$2:$BE$2</c:f>
              <c:numCache/>
            </c:numRef>
          </c:cat>
          <c:val>
            <c:numRef>
              <c:f>LINES!$E$17:$BE$17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LINES!$E$18:$BE$18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LINES!$E$19:$BE$19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LINES!$E$20:$BE$20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LINES!$E$21:$BE$21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LINES!$E$22:$BE$22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LINES!$E$23:$BE$23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LINES!$E$24:$BE$24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LINES!$E$25:$BE$25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LINES!$E$26:$BE$26</c:f>
              <c:numCache/>
            </c:numRef>
          </c:val>
          <c:smooth val="0"/>
        </c:ser>
        <c:ser>
          <c:idx val="10"/>
          <c:order val="10"/>
          <c:tx>
            <c:v>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LINES!$E$2:$BE$2</c:f>
              <c:numCache/>
            </c:numRef>
          </c:cat>
          <c:val>
            <c:numRef>
              <c:f>LINES!$E$27:$BE$27</c:f>
              <c:numCache/>
            </c:numRef>
          </c:val>
          <c:smooth val="0"/>
        </c:ser>
        <c:axId val="48798522"/>
        <c:axId val="36533515"/>
      </c:lineChart>
      <c:catAx>
        <c:axId val="4879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33515"/>
        <c:crosses val="autoZero"/>
        <c:auto val="0"/>
        <c:lblOffset val="100"/>
        <c:noMultiLvlLbl val="0"/>
      </c:catAx>
      <c:valAx>
        <c:axId val="36533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98522"/>
        <c:crossesAt val="27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Rocker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625"/>
          <c:w val="0.92675"/>
          <c:h val="0.51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ROCKER!$A$3:$A$13</c:f>
              <c:numCache/>
            </c:numRef>
          </c:cat>
          <c:val>
            <c:numRef>
              <c:f>ROCKER!$C$3:$C$13</c:f>
              <c:numCache/>
            </c:numRef>
          </c:val>
          <c:smooth val="0"/>
        </c:ser>
        <c:axId val="60366180"/>
        <c:axId val="6424709"/>
      </c:lineChart>
      <c:catAx>
        <c:axId val="6036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4709"/>
        <c:crosses val="autoZero"/>
        <c:auto val="0"/>
        <c:lblOffset val="100"/>
        <c:noMultiLvlLbl val="0"/>
      </c:catAx>
      <c:valAx>
        <c:axId val="6424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Draft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661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Curve of immersed areas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125"/>
          <c:w val="0.92625"/>
          <c:h val="0.7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AREAS!$A$1:$A$11</c:f>
              <c:numCache/>
            </c:numRef>
          </c:cat>
          <c:val>
            <c:numRef>
              <c:f>AREAS!$B$1:$B$11</c:f>
              <c:numCache/>
            </c:numRef>
          </c:val>
          <c:smooth val="0"/>
        </c:ser>
        <c:axId val="57822382"/>
        <c:axId val="50639391"/>
      </c:lineChart>
      <c:catAx>
        <c:axId val="57822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39391"/>
        <c:crosses val="autoZero"/>
        <c:auto val="0"/>
        <c:lblOffset val="100"/>
        <c:noMultiLvlLbl val="0"/>
      </c:catAx>
      <c:valAx>
        <c:axId val="5063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223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Waterplane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725"/>
          <c:w val="0.92425"/>
          <c:h val="0.74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WATERPLANE!$A$1:$A$11</c:f>
              <c:numCache/>
            </c:numRef>
          </c:cat>
          <c:val>
            <c:numRef>
              <c:f>WATERPLANE!$B$1:$B$11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WATERPLANE!$A$1:$A$11</c:f>
              <c:numCache/>
            </c:numRef>
          </c:cat>
          <c:val>
            <c:numRef>
              <c:f>WATERPLANE!$C$1:$C$11</c:f>
              <c:numCache/>
            </c:numRef>
          </c:val>
          <c:smooth val="0"/>
        </c:ser>
        <c:axId val="53101336"/>
        <c:axId val="8149977"/>
      </c:lineChart>
      <c:catAx>
        <c:axId val="5310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49977"/>
        <c:crosses val="autoZero"/>
        <c:auto val="0"/>
        <c:lblOffset val="100"/>
        <c:noMultiLvlLbl val="0"/>
      </c:catAx>
      <c:valAx>
        <c:axId val="8149977"/>
        <c:scaling>
          <c:orientation val="minMax"/>
          <c:max val="2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WL beam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013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Metacentric Moments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METACENTRIC!$A$2:$A$12</c:f>
              <c:numCache/>
            </c:numRef>
          </c:cat>
          <c:val>
            <c:numRef>
              <c:f>METACENTRIC!$B$2:$B$12</c:f>
              <c:numCache/>
            </c:numRef>
          </c:val>
        </c:ser>
        <c:axId val="6240930"/>
        <c:axId val="56168371"/>
      </c:areaChart>
      <c:catAx>
        <c:axId val="624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68371"/>
        <c:crosses val="autoZero"/>
        <c:auto val="1"/>
        <c:lblOffset val="100"/>
        <c:noMultiLvlLbl val="0"/>
      </c:catAx>
      <c:valAx>
        <c:axId val="5616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09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119</xdr:row>
      <xdr:rowOff>9525</xdr:rowOff>
    </xdr:from>
    <xdr:to>
      <xdr:col>4</xdr:col>
      <xdr:colOff>361950</xdr:colOff>
      <xdr:row>120</xdr:row>
      <xdr:rowOff>57150</xdr:rowOff>
    </xdr:to>
    <xdr:sp macro="[0]!Module2.Rise">
      <xdr:nvSpPr>
        <xdr:cNvPr id="1" name="Rectangle 4"/>
        <xdr:cNvSpPr>
          <a:spLocks/>
        </xdr:cNvSpPr>
      </xdr:nvSpPr>
      <xdr:spPr>
        <a:xfrm>
          <a:off x="1095375" y="18268950"/>
          <a:ext cx="115252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Calculate rise</a:t>
          </a:r>
        </a:p>
      </xdr:txBody>
    </xdr:sp>
    <xdr:clientData/>
  </xdr:twoCellAnchor>
  <xdr:twoCellAnchor>
    <xdr:from>
      <xdr:col>2</xdr:col>
      <xdr:colOff>228600</xdr:colOff>
      <xdr:row>117</xdr:row>
      <xdr:rowOff>85725</xdr:rowOff>
    </xdr:from>
    <xdr:to>
      <xdr:col>4</xdr:col>
      <xdr:colOff>361950</xdr:colOff>
      <xdr:row>118</xdr:row>
      <xdr:rowOff>133350</xdr:rowOff>
    </xdr:to>
    <xdr:sp macro="[0]!Trim">
      <xdr:nvSpPr>
        <xdr:cNvPr id="2" name="Rectangle 5"/>
        <xdr:cNvSpPr>
          <a:spLocks/>
        </xdr:cNvSpPr>
      </xdr:nvSpPr>
      <xdr:spPr>
        <a:xfrm>
          <a:off x="1095375" y="18040350"/>
          <a:ext cx="115252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Calculate trim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66675</xdr:rowOff>
    </xdr:from>
    <xdr:to>
      <xdr:col>16</xdr:col>
      <xdr:colOff>142875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228600" y="4362450"/>
        <a:ext cx="6153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95250</xdr:rowOff>
    </xdr:from>
    <xdr:to>
      <xdr:col>11</xdr:col>
      <xdr:colOff>104775</xdr:colOff>
      <xdr:row>12</xdr:row>
      <xdr:rowOff>19050</xdr:rowOff>
    </xdr:to>
    <xdr:graphicFrame>
      <xdr:nvGraphicFramePr>
        <xdr:cNvPr id="1" name="Chart 1"/>
        <xdr:cNvGraphicFramePr/>
      </xdr:nvGraphicFramePr>
      <xdr:xfrm>
        <a:off x="1028700" y="409575"/>
        <a:ext cx="544830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66675</xdr:rowOff>
    </xdr:from>
    <xdr:to>
      <xdr:col>10</xdr:col>
      <xdr:colOff>104775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1009650" y="219075"/>
        <a:ext cx="54102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133350</xdr:rowOff>
    </xdr:from>
    <xdr:to>
      <xdr:col>11</xdr:col>
      <xdr:colOff>533400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1438275" y="133350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38100</xdr:rowOff>
    </xdr:from>
    <xdr:to>
      <xdr:col>10</xdr:col>
      <xdr:colOff>619125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1628775" y="200025"/>
        <a:ext cx="58483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Z147"/>
  <sheetViews>
    <sheetView showGridLines="0" tabSelected="1" workbookViewId="0" topLeftCell="A49">
      <selection activeCell="C70" sqref="C70"/>
    </sheetView>
  </sheetViews>
  <sheetFormatPr defaultColWidth="9.625" defaultRowHeight="12.75"/>
  <cols>
    <col min="1" max="1" width="4.625" style="0" customWidth="1"/>
    <col min="2" max="2" width="6.75390625" style="0" customWidth="1"/>
    <col min="3" max="3" width="6.875" style="0" customWidth="1"/>
    <col min="4" max="4" width="6.50390625" style="0" customWidth="1"/>
    <col min="5" max="5" width="7.625" style="0" customWidth="1"/>
    <col min="6" max="6" width="6.50390625" style="0" customWidth="1"/>
    <col min="7" max="8" width="5.625" style="0" customWidth="1"/>
    <col min="9" max="9" width="7.625" style="0" customWidth="1"/>
    <col min="10" max="10" width="6.625" style="0" customWidth="1"/>
    <col min="11" max="11" width="7.625" style="0" customWidth="1"/>
    <col min="12" max="12" width="6.625" style="0" customWidth="1"/>
    <col min="13" max="13" width="5.625" style="0" customWidth="1"/>
    <col min="14" max="14" width="6.875" style="0" customWidth="1"/>
    <col min="15" max="15" width="8.75390625" style="0" customWidth="1"/>
    <col min="16" max="26" width="5.625" style="0" customWidth="1"/>
  </cols>
  <sheetData>
    <row r="1" spans="1:2" ht="18.75">
      <c r="A1" s="7" t="s">
        <v>0</v>
      </c>
      <c r="B1" s="7"/>
    </row>
    <row r="2" spans="1:3" ht="12">
      <c r="A2" t="s">
        <v>164</v>
      </c>
      <c r="C2" t="s">
        <v>165</v>
      </c>
    </row>
    <row r="3" ht="12">
      <c r="C3" t="s">
        <v>177</v>
      </c>
    </row>
    <row r="4" ht="12">
      <c r="A4" s="8" t="s">
        <v>1</v>
      </c>
    </row>
    <row r="5" ht="12">
      <c r="A5" t="s">
        <v>2</v>
      </c>
    </row>
    <row r="6" ht="12">
      <c r="A6" s="9" t="s">
        <v>3</v>
      </c>
    </row>
    <row r="7" ht="12">
      <c r="A7" s="9" t="s">
        <v>4</v>
      </c>
    </row>
    <row r="8" ht="12">
      <c r="A8" t="s">
        <v>5</v>
      </c>
    </row>
    <row r="9" ht="12">
      <c r="B9" t="s">
        <v>6</v>
      </c>
    </row>
    <row r="11" ht="12">
      <c r="A11" s="8" t="s">
        <v>7</v>
      </c>
    </row>
    <row r="12" ht="12">
      <c r="A12" t="s">
        <v>8</v>
      </c>
    </row>
    <row r="13" ht="12">
      <c r="A13" t="s">
        <v>9</v>
      </c>
    </row>
    <row r="14" ht="12">
      <c r="A14" t="s">
        <v>10</v>
      </c>
    </row>
    <row r="15" ht="12">
      <c r="A15" t="s">
        <v>11</v>
      </c>
    </row>
    <row r="16" ht="12">
      <c r="B16" s="1" t="s">
        <v>12</v>
      </c>
    </row>
    <row r="17" spans="2:3" ht="12">
      <c r="B17" s="1"/>
      <c r="C17" t="s">
        <v>13</v>
      </c>
    </row>
    <row r="18" ht="12">
      <c r="B18" s="1" t="s">
        <v>14</v>
      </c>
    </row>
    <row r="19" spans="2:3" ht="12">
      <c r="B19" s="1"/>
      <c r="C19" t="s">
        <v>15</v>
      </c>
    </row>
    <row r="20" ht="12">
      <c r="B20" s="1" t="s">
        <v>16</v>
      </c>
    </row>
    <row r="21" spans="2:3" ht="12">
      <c r="B21" s="1"/>
      <c r="C21" t="s">
        <v>17</v>
      </c>
    </row>
    <row r="22" ht="12">
      <c r="B22" s="1" t="s">
        <v>18</v>
      </c>
    </row>
    <row r="23" ht="12">
      <c r="C23" t="s">
        <v>19</v>
      </c>
    </row>
    <row r="24" ht="12">
      <c r="C24" t="s">
        <v>20</v>
      </c>
    </row>
    <row r="25" ht="12">
      <c r="B25" s="1" t="s">
        <v>21</v>
      </c>
    </row>
    <row r="26" spans="2:3" ht="12">
      <c r="B26" s="1"/>
      <c r="C26" t="s">
        <v>22</v>
      </c>
    </row>
    <row r="27" ht="12">
      <c r="B27" s="1" t="s">
        <v>23</v>
      </c>
    </row>
    <row r="28" spans="2:3" ht="12">
      <c r="B28" s="1"/>
      <c r="C28" t="s">
        <v>24</v>
      </c>
    </row>
    <row r="29" spans="2:3" ht="12">
      <c r="B29" s="1"/>
      <c r="C29" t="s">
        <v>20</v>
      </c>
    </row>
    <row r="30" ht="12">
      <c r="B30" s="1"/>
    </row>
    <row r="31" spans="1:2" ht="12">
      <c r="A31" t="s">
        <v>25</v>
      </c>
      <c r="B31" s="1"/>
    </row>
    <row r="32" ht="12">
      <c r="A32" t="s">
        <v>26</v>
      </c>
    </row>
    <row r="33" ht="12">
      <c r="A33" t="s">
        <v>27</v>
      </c>
    </row>
    <row r="34" ht="12">
      <c r="A34" t="s">
        <v>28</v>
      </c>
    </row>
    <row r="35" ht="12">
      <c r="B35" s="1" t="s">
        <v>29</v>
      </c>
    </row>
    <row r="36" ht="12">
      <c r="C36" t="s">
        <v>30</v>
      </c>
    </row>
    <row r="37" ht="12">
      <c r="B37" s="1" t="s">
        <v>31</v>
      </c>
    </row>
    <row r="38" spans="2:3" ht="12">
      <c r="B38" s="1" t="s">
        <v>32</v>
      </c>
      <c r="C38" s="1"/>
    </row>
    <row r="39" ht="12">
      <c r="C39" t="s">
        <v>33</v>
      </c>
    </row>
    <row r="40" ht="12">
      <c r="C40" t="s">
        <v>34</v>
      </c>
    </row>
    <row r="41" ht="12">
      <c r="B41" s="1" t="s">
        <v>35</v>
      </c>
    </row>
    <row r="42" ht="12">
      <c r="C42" t="s">
        <v>36</v>
      </c>
    </row>
    <row r="43" ht="12">
      <c r="B43" s="1" t="s">
        <v>37</v>
      </c>
    </row>
    <row r="44" ht="12">
      <c r="B44" s="1" t="s">
        <v>38</v>
      </c>
    </row>
    <row r="45" spans="2:3" ht="12">
      <c r="B45" s="1"/>
      <c r="C45" t="s">
        <v>39</v>
      </c>
    </row>
    <row r="46" ht="12">
      <c r="C46" t="s">
        <v>34</v>
      </c>
    </row>
    <row r="47" ht="12">
      <c r="B47" s="1" t="s">
        <v>40</v>
      </c>
    </row>
    <row r="48" ht="12">
      <c r="C48" t="s">
        <v>36</v>
      </c>
    </row>
    <row r="50" ht="12">
      <c r="A50" s="8" t="s">
        <v>41</v>
      </c>
    </row>
    <row r="51" ht="12">
      <c r="A51" s="8" t="s">
        <v>42</v>
      </c>
    </row>
    <row r="52" ht="12">
      <c r="A52" t="s">
        <v>43</v>
      </c>
    </row>
    <row r="53" ht="12">
      <c r="A53" s="8" t="s">
        <v>44</v>
      </c>
    </row>
    <row r="54" ht="12">
      <c r="A54" t="s">
        <v>45</v>
      </c>
    </row>
    <row r="55" ht="12">
      <c r="A55" t="s">
        <v>46</v>
      </c>
    </row>
    <row r="56" ht="12">
      <c r="A56" t="s">
        <v>47</v>
      </c>
    </row>
    <row r="57" ht="12">
      <c r="A57" t="s">
        <v>48</v>
      </c>
    </row>
    <row r="59" ht="12">
      <c r="A59" s="8" t="s">
        <v>49</v>
      </c>
    </row>
    <row r="60" ht="12">
      <c r="A60" t="s">
        <v>50</v>
      </c>
    </row>
    <row r="61" ht="12">
      <c r="A61" t="s">
        <v>51</v>
      </c>
    </row>
    <row r="62" ht="12">
      <c r="A62" t="s">
        <v>167</v>
      </c>
    </row>
    <row r="63" ht="12">
      <c r="A63" s="8" t="s">
        <v>166</v>
      </c>
    </row>
    <row r="64" ht="12">
      <c r="A64" t="s">
        <v>52</v>
      </c>
    </row>
    <row r="65" ht="12">
      <c r="A65" t="s">
        <v>53</v>
      </c>
    </row>
    <row r="67" spans="1:17" ht="12">
      <c r="A67" s="8" t="s">
        <v>54</v>
      </c>
      <c r="L67" s="1" t="s">
        <v>55</v>
      </c>
      <c r="N67" s="19">
        <v>1</v>
      </c>
      <c r="Q67" s="19">
        <v>1</v>
      </c>
    </row>
    <row r="68" spans="1:22" ht="12">
      <c r="A68" t="s">
        <v>56</v>
      </c>
      <c r="B68">
        <f>50*25.4</f>
        <v>1270</v>
      </c>
      <c r="C68" t="s">
        <v>57</v>
      </c>
      <c r="L68" s="1" t="s">
        <v>58</v>
      </c>
      <c r="N68" s="11">
        <v>3</v>
      </c>
      <c r="Q68" s="11">
        <v>3</v>
      </c>
      <c r="V68" s="1" t="s">
        <v>59</v>
      </c>
    </row>
    <row r="69" spans="12:25" ht="12">
      <c r="L69" s="3" t="s">
        <v>60</v>
      </c>
      <c r="M69" s="2">
        <f>((C71/2)^2+K70^2)/(2*K70)</f>
        <v>2341.814814814815</v>
      </c>
      <c r="N69" s="2">
        <f>-(SQRT(N67)-SQRT(N68))/(N67-N68)</f>
        <v>-0.3660254037844386</v>
      </c>
      <c r="Q69" s="2">
        <f>-(1/Q67-1/Q68)/(Q67-Q68)</f>
        <v>0.33333333333333337</v>
      </c>
      <c r="V69" s="11">
        <v>0.9</v>
      </c>
      <c r="W69" s="11">
        <v>0.2</v>
      </c>
      <c r="Y69" s="11">
        <v>0.2</v>
      </c>
    </row>
    <row r="70" spans="1:17" ht="12">
      <c r="A70" s="1" t="s">
        <v>61</v>
      </c>
      <c r="C70" s="10">
        <v>50</v>
      </c>
      <c r="D70" t="s">
        <v>62</v>
      </c>
      <c r="E70" s="1" t="s">
        <v>63</v>
      </c>
      <c r="G70" s="10">
        <v>3</v>
      </c>
      <c r="I70" s="1" t="s">
        <v>64</v>
      </c>
      <c r="K70" s="10">
        <v>54</v>
      </c>
      <c r="L70" s="3" t="s">
        <v>65</v>
      </c>
      <c r="N70" s="2">
        <v>1</v>
      </c>
      <c r="Q70" s="2">
        <v>1</v>
      </c>
    </row>
    <row r="71" spans="1:17" ht="12">
      <c r="A71" t="s">
        <v>66</v>
      </c>
      <c r="C71" s="23">
        <v>1000</v>
      </c>
      <c r="D71" t="s">
        <v>62</v>
      </c>
      <c r="E71" s="1" t="s">
        <v>67</v>
      </c>
      <c r="G71" s="10">
        <v>4</v>
      </c>
      <c r="L71" s="3" t="s">
        <v>68</v>
      </c>
      <c r="N71" s="2">
        <f>-(-N67*-N69+SQRT(N67))</f>
        <v>-0.6339745962155614</v>
      </c>
      <c r="Q71" s="2">
        <f>-(-Q67*-Q69+1/Q67)</f>
        <v>-1.3333333333333335</v>
      </c>
    </row>
    <row r="72" spans="1:17" ht="12">
      <c r="A72" s="1" t="s">
        <v>69</v>
      </c>
      <c r="C72" s="2">
        <f>C71/A85</f>
        <v>100</v>
      </c>
      <c r="D72" t="s">
        <v>62</v>
      </c>
      <c r="L72" s="3" t="s">
        <v>70</v>
      </c>
      <c r="N72" s="2">
        <f>(N68-N67)/$L85</f>
        <v>0.2</v>
      </c>
      <c r="Q72" s="2">
        <f>(Q68-Q67)/$L85</f>
        <v>0.2</v>
      </c>
    </row>
    <row r="73" spans="13:21" ht="12">
      <c r="M73" s="18" t="s">
        <v>71</v>
      </c>
      <c r="U73" s="18" t="s">
        <v>72</v>
      </c>
    </row>
    <row r="74" spans="1:26" ht="12">
      <c r="A74" s="3" t="s">
        <v>73</v>
      </c>
      <c r="B74" s="3" t="s">
        <v>74</v>
      </c>
      <c r="C74" s="3" t="s">
        <v>75</v>
      </c>
      <c r="D74" s="3" t="s">
        <v>76</v>
      </c>
      <c r="E74" s="3" t="s">
        <v>77</v>
      </c>
      <c r="F74" s="3" t="s">
        <v>78</v>
      </c>
      <c r="G74" s="3" t="s">
        <v>79</v>
      </c>
      <c r="H74" s="3" t="s">
        <v>80</v>
      </c>
      <c r="I74" s="3" t="s">
        <v>81</v>
      </c>
      <c r="J74" s="3" t="s">
        <v>82</v>
      </c>
      <c r="K74" s="3" t="s">
        <v>83</v>
      </c>
      <c r="M74" s="2">
        <v>1</v>
      </c>
      <c r="N74" s="2">
        <v>2</v>
      </c>
      <c r="O74" s="2">
        <v>3</v>
      </c>
      <c r="P74" s="2">
        <v>4</v>
      </c>
      <c r="Q74" s="2">
        <v>5</v>
      </c>
      <c r="R74" s="2">
        <v>6</v>
      </c>
      <c r="S74" s="2">
        <v>7</v>
      </c>
      <c r="U74" s="2">
        <v>1</v>
      </c>
      <c r="V74" s="2">
        <v>2</v>
      </c>
      <c r="W74" s="2">
        <v>3</v>
      </c>
      <c r="X74" s="2">
        <v>4</v>
      </c>
      <c r="Y74" s="2">
        <v>5</v>
      </c>
      <c r="Z74" s="2">
        <v>6</v>
      </c>
    </row>
    <row r="75" spans="1:26" ht="12">
      <c r="A75" s="2">
        <v>0</v>
      </c>
      <c r="B75" s="4">
        <f aca="true" t="shared" si="0" ref="B75:B85">VLOOKUP(A75,$T$75:$Z$85,$G$70+1)</f>
        <v>0</v>
      </c>
      <c r="C75" s="13">
        <f aca="true" t="shared" si="1" ref="C75:C85">$C$70*B75</f>
        <v>0</v>
      </c>
      <c r="D75" s="5">
        <f aca="true" t="shared" si="2" ref="D75:D85">VLOOKUP(A75,$L$75:$S$85,$G$71+1)</f>
        <v>0</v>
      </c>
      <c r="E75" s="13">
        <f aca="true" t="shared" si="3" ref="E75:E85">C75+D75</f>
        <v>0</v>
      </c>
      <c r="F75" s="6">
        <f aca="true" t="shared" si="4" ref="F75:F85">IF(D75&gt;0,SQRT(E75*E75-(E75-D75)^2),0)</f>
        <v>0</v>
      </c>
      <c r="G75" s="6">
        <f aca="true" t="shared" si="5" ref="G75:G85">IF(D75&gt;0,ACOS((E75-D75)/E75)*(180/PI()),0)</f>
        <v>0</v>
      </c>
      <c r="H75" s="6">
        <f aca="true" t="shared" si="6" ref="H75:H85">4*PI()*E75*G75/360</f>
        <v>0</v>
      </c>
      <c r="I75" s="6">
        <f aca="true" t="shared" si="7" ref="I75:I85">2*G75*PI()*E75^2/360</f>
        <v>0</v>
      </c>
      <c r="J75" s="6">
        <f aca="true" t="shared" si="8" ref="J75:J85">I75-F75*(E75-D75)</f>
        <v>0</v>
      </c>
      <c r="K75" s="6">
        <f aca="true" t="shared" si="9" ref="K75:K85">(A75+1)*J75</f>
        <v>0</v>
      </c>
      <c r="L75" s="2">
        <v>0</v>
      </c>
      <c r="M75" s="2">
        <f aca="true" t="shared" si="10" ref="M75:M85">$K$70-($M$69-SQRT($M$69^2-($C$72*(5-$A75))^2))</f>
        <v>0</v>
      </c>
      <c r="N75" s="2">
        <f aca="true" t="shared" si="11" ref="N75:N85">ABS($N$69*($N$67+$N$72*L75)+$N$70*SQRT($N$67+$N$72*L75)+$N$71)</f>
        <v>0</v>
      </c>
      <c r="O75" s="2">
        <f aca="true" t="shared" si="12" ref="O75:O85">$K$70*N75/N$86</f>
        <v>0</v>
      </c>
      <c r="P75" s="2">
        <f>O85</f>
        <v>0</v>
      </c>
      <c r="Q75" s="2">
        <f aca="true" t="shared" si="13" ref="Q75:Q85">ABS($Q$69*($Q$67+$Q$72*L75)+$Q$70*1/($Q$67+$Q$72*L75)+$Q$71)</f>
        <v>0</v>
      </c>
      <c r="R75" s="2">
        <f aca="true" t="shared" si="14" ref="R75:R85">$K$70*Q75/Q$86</f>
        <v>0</v>
      </c>
      <c r="S75" s="2">
        <f>R85</f>
        <v>6.744604874597825E-14</v>
      </c>
      <c r="T75" s="2">
        <v>0</v>
      </c>
      <c r="U75" s="2">
        <f aca="true" t="shared" si="15" ref="U75:U85">M75/$K$70</f>
        <v>0</v>
      </c>
      <c r="V75" s="2">
        <v>0</v>
      </c>
      <c r="W75" s="2">
        <f>O85/$K$70</f>
        <v>0</v>
      </c>
      <c r="X75" s="2">
        <f aca="true" t="shared" si="16" ref="X75:X85">W75*$W$69+V75*$V$69</f>
        <v>0</v>
      </c>
      <c r="Y75" s="2">
        <f>R85/$K$70</f>
        <v>1.249000902703301E-15</v>
      </c>
      <c r="Z75" s="2">
        <f aca="true" t="shared" si="17" ref="Z75:Z85">Y75*$Y$69+V75*$V$69</f>
        <v>2.4980018054066017E-16</v>
      </c>
    </row>
    <row r="76" spans="1:26" ht="12">
      <c r="A76" s="2">
        <v>1</v>
      </c>
      <c r="B76" s="4">
        <f t="shared" si="0"/>
        <v>0.2964807219490543</v>
      </c>
      <c r="C76" s="13">
        <f t="shared" si="1"/>
        <v>14.824036097452714</v>
      </c>
      <c r="D76" s="5">
        <f t="shared" si="2"/>
        <v>16.009958985248932</v>
      </c>
      <c r="E76" s="13">
        <f t="shared" si="3"/>
        <v>30.833995082701648</v>
      </c>
      <c r="F76" s="6">
        <f t="shared" si="4"/>
        <v>27.03670110315769</v>
      </c>
      <c r="G76" s="6">
        <f t="shared" si="5"/>
        <v>61.26434625509457</v>
      </c>
      <c r="H76" s="6">
        <f t="shared" si="6"/>
        <v>65.93939613800688</v>
      </c>
      <c r="I76" s="6">
        <f t="shared" si="7"/>
        <v>1016.5875081378101</v>
      </c>
      <c r="J76" s="6">
        <f t="shared" si="8"/>
        <v>615.7944750285609</v>
      </c>
      <c r="K76" s="6">
        <f t="shared" si="9"/>
        <v>1231.5889500571218</v>
      </c>
      <c r="L76" s="2">
        <v>1</v>
      </c>
      <c r="M76" s="2">
        <f t="shared" si="10"/>
        <v>19.585589728390005</v>
      </c>
      <c r="N76" s="2">
        <f t="shared" si="11"/>
        <v>0.02224003425344445</v>
      </c>
      <c r="O76" s="2">
        <f t="shared" si="12"/>
        <v>24.59955855123833</v>
      </c>
      <c r="P76" s="2">
        <f>O84</f>
        <v>16.009958985248932</v>
      </c>
      <c r="Q76" s="2">
        <f t="shared" si="13"/>
        <v>0.10000000000000009</v>
      </c>
      <c r="R76" s="2">
        <f t="shared" si="14"/>
        <v>30.37500000000002</v>
      </c>
      <c r="S76" s="2">
        <f>R84</f>
        <v>13.017857142857162</v>
      </c>
      <c r="T76" s="2">
        <v>1</v>
      </c>
      <c r="U76" s="2">
        <f t="shared" si="15"/>
        <v>0.3626961060812964</v>
      </c>
      <c r="V76" s="2">
        <v>0.1</v>
      </c>
      <c r="W76" s="2">
        <f>O84/$K$70</f>
        <v>0.2964807219490543</v>
      </c>
      <c r="X76" s="2">
        <f t="shared" si="16"/>
        <v>0.14929614438981087</v>
      </c>
      <c r="Y76" s="2">
        <f>R84/$K$70</f>
        <v>0.24107142857142894</v>
      </c>
      <c r="Z76" s="2">
        <f t="shared" si="17"/>
        <v>0.1382142857142858</v>
      </c>
    </row>
    <row r="77" spans="1:26" ht="12">
      <c r="A77" s="2">
        <v>2</v>
      </c>
      <c r="B77" s="4">
        <f t="shared" si="0"/>
        <v>0.5491734755817662</v>
      </c>
      <c r="C77" s="13">
        <f t="shared" si="1"/>
        <v>27.45867377908831</v>
      </c>
      <c r="D77" s="5">
        <f t="shared" si="2"/>
        <v>29.655367681415374</v>
      </c>
      <c r="E77" s="13">
        <f t="shared" si="3"/>
        <v>57.114041460503685</v>
      </c>
      <c r="F77" s="6">
        <f t="shared" si="4"/>
        <v>50.0802852053155</v>
      </c>
      <c r="G77" s="6">
        <f t="shared" si="5"/>
        <v>61.26434625509457</v>
      </c>
      <c r="H77" s="6">
        <f t="shared" si="6"/>
        <v>122.14004039390677</v>
      </c>
      <c r="I77" s="6">
        <f t="shared" si="7"/>
        <v>3487.9556655225933</v>
      </c>
      <c r="J77" s="6">
        <f t="shared" si="8"/>
        <v>2112.817451306132</v>
      </c>
      <c r="K77" s="6">
        <f t="shared" si="9"/>
        <v>6338.4523539183965</v>
      </c>
      <c r="L77" s="2">
        <v>2</v>
      </c>
      <c r="M77" s="2">
        <f t="shared" si="10"/>
        <v>34.70464191448127</v>
      </c>
      <c r="N77" s="2">
        <f t="shared" si="11"/>
        <v>0.03680579510614779</v>
      </c>
      <c r="O77" s="2">
        <f t="shared" si="12"/>
        <v>40.710652754428104</v>
      </c>
      <c r="P77" s="2">
        <f>O83</f>
        <v>29.655367681415374</v>
      </c>
      <c r="Q77" s="2">
        <f t="shared" si="13"/>
        <v>0.1523809523809525</v>
      </c>
      <c r="R77" s="2">
        <f t="shared" si="14"/>
        <v>46.28571428571431</v>
      </c>
      <c r="S77" s="2">
        <f>R83</f>
        <v>24.923076923076966</v>
      </c>
      <c r="T77" s="2">
        <v>2</v>
      </c>
      <c r="U77" s="2">
        <f t="shared" si="15"/>
        <v>0.6426785539718755</v>
      </c>
      <c r="V77" s="2">
        <v>0.2</v>
      </c>
      <c r="W77" s="2">
        <f>O83/$K$70</f>
        <v>0.5491734755817662</v>
      </c>
      <c r="X77" s="2">
        <f t="shared" si="16"/>
        <v>0.2898346951163533</v>
      </c>
      <c r="Y77" s="2">
        <f>R83/$K$70</f>
        <v>0.46153846153846234</v>
      </c>
      <c r="Z77" s="2">
        <f t="shared" si="17"/>
        <v>0.2723076923076925</v>
      </c>
    </row>
    <row r="78" spans="1:26" ht="12">
      <c r="A78" s="2">
        <v>3</v>
      </c>
      <c r="B78" s="4">
        <f t="shared" si="0"/>
        <v>0.7529173336420932</v>
      </c>
      <c r="C78" s="13">
        <f t="shared" si="1"/>
        <v>37.64586668210466</v>
      </c>
      <c r="D78" s="5">
        <f t="shared" si="2"/>
        <v>40.657536016673035</v>
      </c>
      <c r="E78" s="13">
        <f t="shared" si="3"/>
        <v>78.30340269877769</v>
      </c>
      <c r="F78" s="6">
        <f t="shared" si="4"/>
        <v>68.66011648664855</v>
      </c>
      <c r="G78" s="6">
        <f t="shared" si="5"/>
        <v>61.26434625509459</v>
      </c>
      <c r="H78" s="6">
        <f t="shared" si="6"/>
        <v>167.4541062765253</v>
      </c>
      <c r="I78" s="6">
        <f t="shared" si="7"/>
        <v>6556.113158667338</v>
      </c>
      <c r="J78" s="6">
        <f t="shared" si="8"/>
        <v>3971.3435670331914</v>
      </c>
      <c r="K78" s="6">
        <f t="shared" si="9"/>
        <v>15885.374268132766</v>
      </c>
      <c r="L78" s="2">
        <v>3</v>
      </c>
      <c r="M78" s="2">
        <f t="shared" si="10"/>
        <v>45.4439849941873</v>
      </c>
      <c r="N78" s="2">
        <f t="shared" si="11"/>
        <v>0.04529582179668856</v>
      </c>
      <c r="O78" s="2">
        <f t="shared" si="12"/>
        <v>50.10141655881334</v>
      </c>
      <c r="P78" s="2">
        <f>O82</f>
        <v>40.657536016673035</v>
      </c>
      <c r="Q78" s="2">
        <f t="shared" si="13"/>
        <v>0.17500000000000004</v>
      </c>
      <c r="R78" s="2">
        <f t="shared" si="14"/>
        <v>53.15625000000001</v>
      </c>
      <c r="S78" s="2">
        <f>R82</f>
        <v>35.4375</v>
      </c>
      <c r="T78" s="2">
        <v>3</v>
      </c>
      <c r="U78" s="2">
        <f t="shared" si="15"/>
        <v>0.8415552776701353</v>
      </c>
      <c r="V78" s="2">
        <v>0.3</v>
      </c>
      <c r="W78" s="2">
        <f>O82/$K$70</f>
        <v>0.7529173336420932</v>
      </c>
      <c r="X78" s="2">
        <f t="shared" si="16"/>
        <v>0.4205834667284187</v>
      </c>
      <c r="Y78" s="2">
        <f>R82/$K$70</f>
        <v>0.65625</v>
      </c>
      <c r="Z78" s="2">
        <f t="shared" si="17"/>
        <v>0.40125</v>
      </c>
    </row>
    <row r="79" spans="1:26" ht="12">
      <c r="A79" s="2">
        <v>4</v>
      </c>
      <c r="B79" s="4">
        <f t="shared" si="0"/>
        <v>0.9014501245518844</v>
      </c>
      <c r="C79" s="13">
        <f t="shared" si="1"/>
        <v>45.072506227594225</v>
      </c>
      <c r="D79" s="5">
        <f t="shared" si="2"/>
        <v>48.67830672580176</v>
      </c>
      <c r="E79" s="13">
        <f t="shared" si="3"/>
        <v>93.75081295339598</v>
      </c>
      <c r="F79" s="6">
        <f t="shared" si="4"/>
        <v>82.20513433956617</v>
      </c>
      <c r="G79" s="6">
        <f t="shared" si="5"/>
        <v>61.26434625509459</v>
      </c>
      <c r="H79" s="6">
        <f t="shared" si="6"/>
        <v>200.48884281824033</v>
      </c>
      <c r="I79" s="6">
        <f t="shared" si="7"/>
        <v>9397.996001147829</v>
      </c>
      <c r="J79" s="6">
        <f t="shared" si="8"/>
        <v>5692.804571687513</v>
      </c>
      <c r="K79" s="6">
        <f t="shared" si="9"/>
        <v>28464.022858437565</v>
      </c>
      <c r="L79" s="2">
        <v>4</v>
      </c>
      <c r="M79" s="2">
        <f t="shared" si="10"/>
        <v>51.863929561460736</v>
      </c>
      <c r="N79" s="2">
        <f t="shared" si="11"/>
        <v>0.04882046347232294</v>
      </c>
      <c r="O79" s="2">
        <f t="shared" si="12"/>
        <v>54.00000000000001</v>
      </c>
      <c r="P79" s="2">
        <f>O81</f>
        <v>48.67830672580176</v>
      </c>
      <c r="Q79" s="2">
        <f t="shared" si="13"/>
        <v>0.1777777777777778</v>
      </c>
      <c r="R79" s="2">
        <f t="shared" si="14"/>
        <v>54</v>
      </c>
      <c r="S79" s="2">
        <f>R81</f>
        <v>44.18181818181819</v>
      </c>
      <c r="T79" s="2">
        <v>4</v>
      </c>
      <c r="U79" s="2">
        <f t="shared" si="15"/>
        <v>0.9604431400270507</v>
      </c>
      <c r="V79" s="2">
        <v>0.4</v>
      </c>
      <c r="W79" s="2">
        <f>O81/$K$70</f>
        <v>0.9014501245518844</v>
      </c>
      <c r="X79" s="2">
        <f t="shared" si="16"/>
        <v>0.5402900249103769</v>
      </c>
      <c r="Y79" s="2">
        <f>R81/$K$70</f>
        <v>0.8181818181818182</v>
      </c>
      <c r="Z79" s="2">
        <f t="shared" si="17"/>
        <v>0.5236363636363637</v>
      </c>
    </row>
    <row r="80" spans="1:26" ht="12">
      <c r="A80" s="2">
        <v>5</v>
      </c>
      <c r="B80" s="4">
        <f t="shared" si="0"/>
        <v>0.9870483637660497</v>
      </c>
      <c r="C80" s="13">
        <f t="shared" si="1"/>
        <v>49.35241818830248</v>
      </c>
      <c r="D80" s="5">
        <f t="shared" si="2"/>
        <v>53.30061164336668</v>
      </c>
      <c r="E80" s="13">
        <f t="shared" si="3"/>
        <v>102.65302983166916</v>
      </c>
      <c r="F80" s="6">
        <f t="shared" si="4"/>
        <v>90.01101795107347</v>
      </c>
      <c r="G80" s="6">
        <f t="shared" si="5"/>
        <v>61.26434625509457</v>
      </c>
      <c r="H80" s="6">
        <f t="shared" si="6"/>
        <v>219.52649277791824</v>
      </c>
      <c r="I80" s="6">
        <f t="shared" si="7"/>
        <v>11267.529805986675</v>
      </c>
      <c r="J80" s="6">
        <f t="shared" si="8"/>
        <v>6825.268406510495</v>
      </c>
      <c r="K80" s="6">
        <f t="shared" si="9"/>
        <v>40951.61043906297</v>
      </c>
      <c r="L80" s="2">
        <v>5</v>
      </c>
      <c r="M80" s="2">
        <f t="shared" si="10"/>
        <v>54</v>
      </c>
      <c r="N80" s="2">
        <f t="shared" si="11"/>
        <v>0.04818815858865655</v>
      </c>
      <c r="O80" s="2">
        <f t="shared" si="12"/>
        <v>53.30061164336668</v>
      </c>
      <c r="P80" s="2">
        <f>O80</f>
        <v>53.30061164336668</v>
      </c>
      <c r="Q80" s="2">
        <f t="shared" si="13"/>
        <v>0.16666666666666674</v>
      </c>
      <c r="R80" s="2">
        <f t="shared" si="14"/>
        <v>50.62500000000001</v>
      </c>
      <c r="S80" s="2">
        <f>R80</f>
        <v>50.62500000000001</v>
      </c>
      <c r="T80" s="2">
        <v>5</v>
      </c>
      <c r="U80" s="2">
        <f t="shared" si="15"/>
        <v>1</v>
      </c>
      <c r="V80" s="2">
        <v>0.5</v>
      </c>
      <c r="W80" s="2">
        <f>O80/$K$70</f>
        <v>0.9870483637660497</v>
      </c>
      <c r="X80" s="2">
        <f t="shared" si="16"/>
        <v>0.6474096727532099</v>
      </c>
      <c r="Y80" s="2">
        <f>R80/$K$70</f>
        <v>0.9375000000000001</v>
      </c>
      <c r="Z80" s="2">
        <f t="shared" si="17"/>
        <v>0.6375000000000001</v>
      </c>
    </row>
    <row r="81" spans="1:26" ht="12">
      <c r="A81" s="2">
        <v>6</v>
      </c>
      <c r="B81" s="4">
        <f t="shared" si="0"/>
        <v>1.0000000000000002</v>
      </c>
      <c r="C81" s="13">
        <f t="shared" si="1"/>
        <v>50.000000000000014</v>
      </c>
      <c r="D81" s="5">
        <f t="shared" si="2"/>
        <v>54.00000000000001</v>
      </c>
      <c r="E81" s="13">
        <f t="shared" si="3"/>
        <v>104.00000000000003</v>
      </c>
      <c r="F81" s="6">
        <f t="shared" si="4"/>
        <v>91.192104921424</v>
      </c>
      <c r="G81" s="6">
        <f t="shared" si="5"/>
        <v>61.26434625509457</v>
      </c>
      <c r="H81" s="6">
        <f t="shared" si="6"/>
        <v>222.40702769651773</v>
      </c>
      <c r="I81" s="6">
        <f t="shared" si="7"/>
        <v>11565.165440218927</v>
      </c>
      <c r="J81" s="6">
        <f t="shared" si="8"/>
        <v>7005.560194147724</v>
      </c>
      <c r="K81" s="6">
        <f t="shared" si="9"/>
        <v>49038.92135903407</v>
      </c>
      <c r="L81" s="2">
        <v>6</v>
      </c>
      <c r="M81" s="2">
        <f t="shared" si="10"/>
        <v>51.863929561460736</v>
      </c>
      <c r="N81" s="2">
        <f t="shared" si="11"/>
        <v>0.044009212877806236</v>
      </c>
      <c r="O81" s="2">
        <f t="shared" si="12"/>
        <v>48.67830672580176</v>
      </c>
      <c r="P81" s="2">
        <f>O79</f>
        <v>54.00000000000001</v>
      </c>
      <c r="Q81" s="2">
        <f t="shared" si="13"/>
        <v>0.1454545454545455</v>
      </c>
      <c r="R81" s="2">
        <f t="shared" si="14"/>
        <v>44.18181818181819</v>
      </c>
      <c r="S81" s="2">
        <f>R79</f>
        <v>54</v>
      </c>
      <c r="T81" s="2">
        <v>6</v>
      </c>
      <c r="U81" s="2">
        <f t="shared" si="15"/>
        <v>0.9604431400270507</v>
      </c>
      <c r="V81" s="2">
        <v>0.6</v>
      </c>
      <c r="W81" s="2">
        <f>O79/$K$70</f>
        <v>1.0000000000000002</v>
      </c>
      <c r="X81" s="2">
        <f t="shared" si="16"/>
        <v>0.7400000000000001</v>
      </c>
      <c r="Y81" s="2">
        <f>R79/$K$70</f>
        <v>1</v>
      </c>
      <c r="Z81" s="2">
        <f t="shared" si="17"/>
        <v>0.74</v>
      </c>
    </row>
    <row r="82" spans="1:26" ht="12">
      <c r="A82" s="2">
        <v>7</v>
      </c>
      <c r="B82" s="4">
        <f t="shared" si="0"/>
        <v>0.9278040103483952</v>
      </c>
      <c r="C82" s="13">
        <f t="shared" si="1"/>
        <v>46.390200517419764</v>
      </c>
      <c r="D82" s="5">
        <f t="shared" si="2"/>
        <v>50.10141655881334</v>
      </c>
      <c r="E82" s="13">
        <f t="shared" si="3"/>
        <v>96.4916170762331</v>
      </c>
      <c r="F82" s="6">
        <f t="shared" si="4"/>
        <v>84.6084006582088</v>
      </c>
      <c r="G82" s="6">
        <f t="shared" si="5"/>
        <v>61.26434625509459</v>
      </c>
      <c r="H82" s="6">
        <f t="shared" si="6"/>
        <v>206.35013222649576</v>
      </c>
      <c r="I82" s="6">
        <f t="shared" si="7"/>
        <v>9955.528971214548</v>
      </c>
      <c r="J82" s="6">
        <f t="shared" si="8"/>
        <v>6030.528299222052</v>
      </c>
      <c r="K82" s="6">
        <f t="shared" si="9"/>
        <v>48244.226393776415</v>
      </c>
      <c r="L82" s="2">
        <v>7</v>
      </c>
      <c r="M82" s="2">
        <f t="shared" si="10"/>
        <v>45.4439849941873</v>
      </c>
      <c r="N82" s="2">
        <f t="shared" si="11"/>
        <v>0.036757773184752596</v>
      </c>
      <c r="O82" s="2">
        <f t="shared" si="12"/>
        <v>40.657536016673035</v>
      </c>
      <c r="P82" s="2">
        <f>O78</f>
        <v>50.10141655881334</v>
      </c>
      <c r="Q82" s="2">
        <f t="shared" si="13"/>
        <v>0.1166666666666667</v>
      </c>
      <c r="R82" s="2">
        <f t="shared" si="14"/>
        <v>35.4375</v>
      </c>
      <c r="S82" s="2">
        <f>R78</f>
        <v>53.15625000000001</v>
      </c>
      <c r="T82" s="2">
        <v>7</v>
      </c>
      <c r="U82" s="2">
        <f t="shared" si="15"/>
        <v>0.8415552776701353</v>
      </c>
      <c r="V82" s="2">
        <v>0.7</v>
      </c>
      <c r="W82" s="2">
        <f>O78/$K$70</f>
        <v>0.9278040103483952</v>
      </c>
      <c r="X82" s="2">
        <f t="shared" si="16"/>
        <v>0.8155608020696791</v>
      </c>
      <c r="Y82" s="2">
        <f>R78/$K$70</f>
        <v>0.9843750000000001</v>
      </c>
      <c r="Z82" s="2">
        <f t="shared" si="17"/>
        <v>0.826875</v>
      </c>
    </row>
    <row r="83" spans="1:26" ht="12">
      <c r="A83" s="2">
        <v>8</v>
      </c>
      <c r="B83" s="4">
        <f t="shared" si="0"/>
        <v>0.7539009769338537</v>
      </c>
      <c r="C83" s="13">
        <f t="shared" si="1"/>
        <v>37.695048846692686</v>
      </c>
      <c r="D83" s="5">
        <f t="shared" si="2"/>
        <v>40.710652754428104</v>
      </c>
      <c r="E83" s="13">
        <f t="shared" si="3"/>
        <v>78.4057016011208</v>
      </c>
      <c r="F83" s="6">
        <f t="shared" si="4"/>
        <v>68.74981698891604</v>
      </c>
      <c r="G83" s="6">
        <f t="shared" si="5"/>
        <v>61.26434625509457</v>
      </c>
      <c r="H83" s="6">
        <f t="shared" si="6"/>
        <v>167.67287545735937</v>
      </c>
      <c r="I83" s="6">
        <f t="shared" si="7"/>
        <v>6573.254719855806</v>
      </c>
      <c r="J83" s="6">
        <f t="shared" si="8"/>
        <v>3981.7270102574325</v>
      </c>
      <c r="K83" s="6">
        <f t="shared" si="9"/>
        <v>35835.54309231689</v>
      </c>
      <c r="L83" s="2">
        <v>8</v>
      </c>
      <c r="M83" s="2">
        <f t="shared" si="10"/>
        <v>34.70464191448127</v>
      </c>
      <c r="N83" s="2">
        <f t="shared" si="11"/>
        <v>0.02681090360460825</v>
      </c>
      <c r="O83" s="2">
        <f t="shared" si="12"/>
        <v>29.655367681415374</v>
      </c>
      <c r="P83" s="2">
        <f>O77</f>
        <v>40.710652754428104</v>
      </c>
      <c r="Q83" s="2">
        <f t="shared" si="13"/>
        <v>0.0820512820512822</v>
      </c>
      <c r="R83" s="2">
        <f t="shared" si="14"/>
        <v>24.923076923076966</v>
      </c>
      <c r="S83" s="2">
        <f>R77</f>
        <v>46.28571428571431</v>
      </c>
      <c r="T83" s="2">
        <v>8</v>
      </c>
      <c r="U83" s="2">
        <f t="shared" si="15"/>
        <v>0.6426785539718755</v>
      </c>
      <c r="V83" s="2">
        <v>0.8</v>
      </c>
      <c r="W83" s="2">
        <f>O77/$K$70</f>
        <v>0.7539009769338537</v>
      </c>
      <c r="X83" s="2">
        <f t="shared" si="16"/>
        <v>0.8707801953867709</v>
      </c>
      <c r="Y83" s="2">
        <f>R77/$K$70</f>
        <v>0.8571428571428577</v>
      </c>
      <c r="Z83" s="2">
        <f t="shared" si="17"/>
        <v>0.8914285714285717</v>
      </c>
    </row>
    <row r="84" spans="1:26" ht="12">
      <c r="A84" s="2">
        <v>9</v>
      </c>
      <c r="B84" s="4">
        <f t="shared" si="0"/>
        <v>0.4555473805784876</v>
      </c>
      <c r="C84" s="13">
        <f t="shared" si="1"/>
        <v>22.77736902892438</v>
      </c>
      <c r="D84" s="5">
        <f t="shared" si="2"/>
        <v>24.59955855123833</v>
      </c>
      <c r="E84" s="13">
        <f t="shared" si="3"/>
        <v>47.376927580162715</v>
      </c>
      <c r="F84" s="6">
        <f t="shared" si="4"/>
        <v>41.54232452639331</v>
      </c>
      <c r="G84" s="6">
        <f t="shared" si="5"/>
        <v>61.26434625509457</v>
      </c>
      <c r="H84" s="6">
        <f t="shared" si="6"/>
        <v>101.3169388893958</v>
      </c>
      <c r="I84" s="6">
        <f t="shared" si="7"/>
        <v>2400.042638203338</v>
      </c>
      <c r="J84" s="6">
        <f t="shared" si="8"/>
        <v>1453.8177821463412</v>
      </c>
      <c r="K84" s="6">
        <f t="shared" si="9"/>
        <v>14538.177821463412</v>
      </c>
      <c r="L84" s="2">
        <v>9</v>
      </c>
      <c r="M84" s="2">
        <f t="shared" si="10"/>
        <v>19.585589728390005</v>
      </c>
      <c r="N84" s="2">
        <f t="shared" si="11"/>
        <v>0.01447432625616174</v>
      </c>
      <c r="O84" s="2">
        <f t="shared" si="12"/>
        <v>16.009958985248932</v>
      </c>
      <c r="P84" s="2">
        <f>O76</f>
        <v>24.59955855123833</v>
      </c>
      <c r="Q84" s="2">
        <f t="shared" si="13"/>
        <v>0.04285714285714293</v>
      </c>
      <c r="R84" s="2">
        <f t="shared" si="14"/>
        <v>13.017857142857162</v>
      </c>
      <c r="S84" s="2">
        <f>R76</f>
        <v>30.37500000000002</v>
      </c>
      <c r="T84" s="2">
        <v>9</v>
      </c>
      <c r="U84" s="2">
        <f t="shared" si="15"/>
        <v>0.3626961060812964</v>
      </c>
      <c r="V84" s="2">
        <v>0.9</v>
      </c>
      <c r="W84" s="2">
        <f>O76/$K$70</f>
        <v>0.4555473805784876</v>
      </c>
      <c r="X84" s="2">
        <f t="shared" si="16"/>
        <v>0.9011094761156976</v>
      </c>
      <c r="Y84" s="2">
        <f>R76/$K$70</f>
        <v>0.5625000000000004</v>
      </c>
      <c r="Z84" s="2">
        <f t="shared" si="17"/>
        <v>0.9225000000000001</v>
      </c>
    </row>
    <row r="85" spans="1:26" ht="12">
      <c r="A85" s="2">
        <v>10</v>
      </c>
      <c r="B85" s="4">
        <f t="shared" si="0"/>
        <v>0</v>
      </c>
      <c r="C85" s="13">
        <f t="shared" si="1"/>
        <v>0</v>
      </c>
      <c r="D85" s="5">
        <f t="shared" si="2"/>
        <v>0</v>
      </c>
      <c r="E85" s="13">
        <f t="shared" si="3"/>
        <v>0</v>
      </c>
      <c r="F85" s="6">
        <f t="shared" si="4"/>
        <v>0</v>
      </c>
      <c r="G85" s="6">
        <f t="shared" si="5"/>
        <v>0</v>
      </c>
      <c r="H85" s="6">
        <f t="shared" si="6"/>
        <v>0</v>
      </c>
      <c r="I85" s="6">
        <f t="shared" si="7"/>
        <v>0</v>
      </c>
      <c r="J85" s="6">
        <f t="shared" si="8"/>
        <v>0</v>
      </c>
      <c r="K85" s="6">
        <f t="shared" si="9"/>
        <v>0</v>
      </c>
      <c r="L85" s="2">
        <v>10</v>
      </c>
      <c r="M85" s="2">
        <f t="shared" si="10"/>
        <v>0</v>
      </c>
      <c r="N85" s="2">
        <f t="shared" si="11"/>
        <v>0</v>
      </c>
      <c r="O85" s="2">
        <f t="shared" si="12"/>
        <v>0</v>
      </c>
      <c r="P85" s="2">
        <f>O75</f>
        <v>0</v>
      </c>
      <c r="Q85" s="2">
        <f t="shared" si="13"/>
        <v>2.220446049250313E-16</v>
      </c>
      <c r="R85" s="2">
        <f t="shared" si="14"/>
        <v>6.744604874597825E-14</v>
      </c>
      <c r="S85" s="2">
        <f>R75</f>
        <v>0</v>
      </c>
      <c r="T85" s="2">
        <v>10</v>
      </c>
      <c r="U85" s="2">
        <f t="shared" si="15"/>
        <v>0</v>
      </c>
      <c r="V85" s="2">
        <v>1</v>
      </c>
      <c r="W85" s="2">
        <f>O75/$K$70</f>
        <v>0</v>
      </c>
      <c r="X85" s="2">
        <f t="shared" si="16"/>
        <v>0.9</v>
      </c>
      <c r="Y85" s="2">
        <f>R75/$K$70</f>
        <v>0</v>
      </c>
      <c r="Z85" s="2">
        <f t="shared" si="17"/>
        <v>0.9</v>
      </c>
    </row>
    <row r="86" spans="14:17" ht="12">
      <c r="N86" s="2">
        <f>MAXA(N75:N85)</f>
        <v>0.04882046347232294</v>
      </c>
      <c r="Q86" s="2">
        <f>MAXA(Q75:Q85)</f>
        <v>0.1777777777777778</v>
      </c>
    </row>
    <row r="87" spans="1:8" ht="12">
      <c r="A87" s="1" t="s">
        <v>84</v>
      </c>
      <c r="C87" s="1" t="s">
        <v>85</v>
      </c>
      <c r="E87" s="1" t="s">
        <v>86</v>
      </c>
      <c r="H87" s="12">
        <f>$C$72*(H75+4*H76+2*H77+4*H78+2*H79+4*H80+2*H81+4*H82+2*H83+4*H84+H85)/(3*100)</f>
        <v>1489.2552793218056</v>
      </c>
    </row>
    <row r="88" spans="3:21" ht="12">
      <c r="C88" s="1" t="s">
        <v>87</v>
      </c>
      <c r="E88" s="1" t="s">
        <v>88</v>
      </c>
      <c r="J88" s="12">
        <f>$C$72*(J75+4*J76+2*J77+4*J78+2*J79+4*J80+2*J81+4*J82+2*J83+4*J84+J85)/(3*1000)</f>
        <v>3772.4276191520053</v>
      </c>
      <c r="K88" s="2">
        <f>SUM(K75:K85)</f>
        <v>240527.91753619962</v>
      </c>
      <c r="M88" s="1" t="s">
        <v>89</v>
      </c>
      <c r="U88" s="1" t="s">
        <v>90</v>
      </c>
    </row>
    <row r="89" spans="3:21" ht="12">
      <c r="C89" s="1" t="s">
        <v>91</v>
      </c>
      <c r="E89" s="1" t="s">
        <v>92</v>
      </c>
      <c r="K89" s="16">
        <f>K88/SUM(J75:J85)-1</f>
        <v>5.3818009056385545</v>
      </c>
      <c r="M89" s="1" t="s">
        <v>93</v>
      </c>
      <c r="U89" s="1" t="s">
        <v>94</v>
      </c>
    </row>
    <row r="90" spans="5:21" ht="12">
      <c r="E90" s="1" t="s">
        <v>95</v>
      </c>
      <c r="K90" s="24">
        <f>K89*C72</f>
        <v>538.1800905638554</v>
      </c>
      <c r="M90" s="1" t="s">
        <v>96</v>
      </c>
      <c r="U90" s="1" t="s">
        <v>97</v>
      </c>
    </row>
    <row r="91" spans="5:21" ht="12">
      <c r="E91" s="1" t="s">
        <v>98</v>
      </c>
      <c r="J91" s="39">
        <f>1000*J88/(C71*MAXA(J75:J85))</f>
        <v>0.5384905010599152</v>
      </c>
      <c r="M91" s="1" t="s">
        <v>99</v>
      </c>
      <c r="N91" s="1"/>
      <c r="U91" s="1" t="s">
        <v>100</v>
      </c>
    </row>
    <row r="92" spans="5:21" ht="12">
      <c r="E92" t="s">
        <v>101</v>
      </c>
      <c r="J92" s="20">
        <f>ATAN(E77/(2*C72))*180/PI()</f>
        <v>15.93776355085585</v>
      </c>
      <c r="M92" s="1" t="s">
        <v>102</v>
      </c>
      <c r="U92" s="1" t="s">
        <v>103</v>
      </c>
    </row>
    <row r="93" spans="13:21" ht="12">
      <c r="M93" s="1" t="s">
        <v>104</v>
      </c>
      <c r="U93" s="1" t="s">
        <v>105</v>
      </c>
    </row>
    <row r="94" spans="1:13" ht="12">
      <c r="A94" s="8" t="s">
        <v>106</v>
      </c>
      <c r="J94" s="3"/>
      <c r="K94" s="3"/>
      <c r="M94" s="1" t="s">
        <v>107</v>
      </c>
    </row>
    <row r="95" spans="1:21" ht="12">
      <c r="A95" t="s">
        <v>168</v>
      </c>
      <c r="J95" s="3"/>
      <c r="K95" s="3"/>
      <c r="M95" s="1"/>
      <c r="U95" s="1"/>
    </row>
    <row r="96" spans="1:21" ht="12">
      <c r="A96" t="s">
        <v>147</v>
      </c>
      <c r="J96" s="3"/>
      <c r="K96" s="3"/>
      <c r="M96" s="1"/>
      <c r="U96" s="1"/>
    </row>
    <row r="97" spans="2:21" ht="12">
      <c r="B97" s="32" t="s">
        <v>159</v>
      </c>
      <c r="J97" s="3"/>
      <c r="K97" s="3"/>
      <c r="M97" s="1"/>
      <c r="U97" s="1"/>
    </row>
    <row r="98" spans="2:21" ht="12">
      <c r="B98" s="38" t="s">
        <v>160</v>
      </c>
      <c r="J98" s="3"/>
      <c r="K98" s="3"/>
      <c r="M98" s="1"/>
      <c r="U98" s="1"/>
    </row>
    <row r="99" spans="2:21" ht="12">
      <c r="B99" t="s">
        <v>161</v>
      </c>
      <c r="J99" s="3"/>
      <c r="K99" s="3"/>
      <c r="M99" s="1"/>
      <c r="U99" s="1"/>
    </row>
    <row r="100" spans="2:21" ht="12">
      <c r="B100" t="s">
        <v>158</v>
      </c>
      <c r="J100" s="3"/>
      <c r="K100" s="3"/>
      <c r="M100" s="1"/>
      <c r="U100" s="1"/>
    </row>
    <row r="101" spans="2:21" ht="12">
      <c r="B101" t="s">
        <v>171</v>
      </c>
      <c r="J101" s="3"/>
      <c r="K101" s="3"/>
      <c r="M101" s="1"/>
      <c r="U101" s="1"/>
    </row>
    <row r="102" spans="1:21" ht="12">
      <c r="A102" t="s">
        <v>162</v>
      </c>
      <c r="J102" s="3"/>
      <c r="K102" s="3"/>
      <c r="M102" s="1"/>
      <c r="U102" s="1"/>
    </row>
    <row r="103" spans="1:21" ht="12">
      <c r="A103" t="s">
        <v>108</v>
      </c>
      <c r="J103" s="3"/>
      <c r="K103" s="3"/>
      <c r="M103" s="1"/>
      <c r="U103" s="1"/>
    </row>
    <row r="104" spans="1:21" ht="12">
      <c r="A104" t="s">
        <v>109</v>
      </c>
      <c r="J104" s="3"/>
      <c r="K104" s="3"/>
      <c r="M104" s="1"/>
      <c r="U104" s="1"/>
    </row>
    <row r="105" spans="1:21" ht="12">
      <c r="A105" t="s">
        <v>154</v>
      </c>
      <c r="J105" s="3"/>
      <c r="K105" s="3"/>
      <c r="M105" s="1"/>
      <c r="U105" s="1"/>
    </row>
    <row r="106" spans="1:21" ht="12">
      <c r="A106" t="s">
        <v>163</v>
      </c>
      <c r="J106" s="3"/>
      <c r="K106" s="3"/>
      <c r="M106" s="1"/>
      <c r="O106" s="25"/>
      <c r="P106" s="25"/>
      <c r="Q106" s="25"/>
      <c r="U106" s="1"/>
    </row>
    <row r="107" spans="1:21" ht="12">
      <c r="A107" t="s">
        <v>169</v>
      </c>
      <c r="J107" s="3"/>
      <c r="K107" s="3"/>
      <c r="M107" s="1"/>
      <c r="O107" s="25"/>
      <c r="P107" s="25"/>
      <c r="Q107" s="25"/>
      <c r="U107" s="1"/>
    </row>
    <row r="108" spans="10:21" ht="12">
      <c r="J108" s="3"/>
      <c r="K108" s="3"/>
      <c r="M108" s="1"/>
      <c r="O108" s="25"/>
      <c r="P108" s="25"/>
      <c r="Q108" s="25"/>
      <c r="U108" s="1"/>
    </row>
    <row r="109" spans="1:21" ht="12">
      <c r="A109" t="s">
        <v>170</v>
      </c>
      <c r="J109" s="3"/>
      <c r="K109" s="3"/>
      <c r="M109" s="1"/>
      <c r="O109" s="25"/>
      <c r="P109" s="25"/>
      <c r="Q109" s="25"/>
      <c r="U109" s="1"/>
    </row>
    <row r="110" spans="10:21" ht="12">
      <c r="J110" s="3"/>
      <c r="K110" s="3"/>
      <c r="M110" s="1"/>
      <c r="O110" s="25"/>
      <c r="P110" s="25"/>
      <c r="Q110" s="25"/>
      <c r="U110" s="1"/>
    </row>
    <row r="111" spans="1:21" ht="12">
      <c r="A111" s="8" t="s">
        <v>110</v>
      </c>
      <c r="J111" s="3"/>
      <c r="K111" s="3"/>
      <c r="M111" s="1"/>
      <c r="O111" s="25"/>
      <c r="P111" s="25"/>
      <c r="Q111" s="25"/>
      <c r="U111" s="1"/>
    </row>
    <row r="112" spans="1:21" ht="12">
      <c r="A112" t="s">
        <v>111</v>
      </c>
      <c r="J112" s="3"/>
      <c r="K112" s="3"/>
      <c r="M112" s="1"/>
      <c r="O112" s="25"/>
      <c r="P112" s="25"/>
      <c r="U112" s="1"/>
    </row>
    <row r="113" spans="1:21" ht="12">
      <c r="A113" t="s">
        <v>112</v>
      </c>
      <c r="J113" s="3"/>
      <c r="K113" s="3"/>
      <c r="M113" s="1"/>
      <c r="O113" s="25"/>
      <c r="P113" s="25"/>
      <c r="U113" s="1"/>
    </row>
    <row r="114" spans="1:21" ht="12">
      <c r="A114" s="9" t="s">
        <v>113</v>
      </c>
      <c r="J114" s="3"/>
      <c r="K114" s="3"/>
      <c r="M114" s="1"/>
      <c r="O114" s="25"/>
      <c r="P114" s="25"/>
      <c r="Q114" s="25"/>
      <c r="U114" s="1"/>
    </row>
    <row r="115" spans="1:21" ht="12">
      <c r="A115" t="s">
        <v>114</v>
      </c>
      <c r="J115" s="3"/>
      <c r="K115" s="3"/>
      <c r="M115" s="1"/>
      <c r="O115" s="25"/>
      <c r="P115" s="25"/>
      <c r="Q115" s="25"/>
      <c r="U115" s="1"/>
    </row>
    <row r="116" spans="1:21" ht="12">
      <c r="A116" t="s">
        <v>115</v>
      </c>
      <c r="J116" s="3"/>
      <c r="K116" s="3"/>
      <c r="M116" s="1"/>
      <c r="O116" s="25"/>
      <c r="P116" s="25"/>
      <c r="Q116" s="25"/>
      <c r="U116" s="1"/>
    </row>
    <row r="117" spans="10:21" ht="12">
      <c r="J117" s="3"/>
      <c r="K117" s="3"/>
      <c r="M117" s="1"/>
      <c r="O117" s="25"/>
      <c r="P117" s="25"/>
      <c r="Q117" s="25"/>
      <c r="U117" s="1"/>
    </row>
    <row r="118" spans="10:21" ht="12">
      <c r="J118" s="3" t="s">
        <v>116</v>
      </c>
      <c r="K118" s="3" t="s">
        <v>117</v>
      </c>
      <c r="M118" s="28" t="s">
        <v>118</v>
      </c>
      <c r="O118" s="25"/>
      <c r="P118" s="25"/>
      <c r="Q118" s="25"/>
      <c r="U118" s="1"/>
    </row>
    <row r="119" spans="1:21" ht="12">
      <c r="A119" s="1" t="s">
        <v>119</v>
      </c>
      <c r="B119" s="10">
        <v>30</v>
      </c>
      <c r="C119" s="1"/>
      <c r="F119" s="24">
        <v>5.401118566296827</v>
      </c>
      <c r="G119" t="s">
        <v>146</v>
      </c>
      <c r="I119" s="3" t="s">
        <v>120</v>
      </c>
      <c r="J119" s="14">
        <f>J88</f>
        <v>3772.4276191520053</v>
      </c>
      <c r="K119" s="15">
        <f>K89</f>
        <v>5.3818009056385545</v>
      </c>
      <c r="M119" t="s">
        <v>121</v>
      </c>
      <c r="O119" s="25"/>
      <c r="P119" s="25"/>
      <c r="Q119" s="25"/>
      <c r="U119" s="1"/>
    </row>
    <row r="120" spans="1:17" ht="12">
      <c r="A120" s="1" t="s">
        <v>122</v>
      </c>
      <c r="B120" s="11">
        <v>420</v>
      </c>
      <c r="C120" s="1"/>
      <c r="F120" s="24">
        <v>1.6808676602531047E-06</v>
      </c>
      <c r="G120" t="s">
        <v>123</v>
      </c>
      <c r="I120" s="3" t="s">
        <v>124</v>
      </c>
      <c r="J120" s="30">
        <f>J142</f>
        <v>3772.427619054499</v>
      </c>
      <c r="K120" s="31">
        <f>K143</f>
        <v>5.402817106415626</v>
      </c>
      <c r="M120" s="33">
        <f>IF(HeelPhi&gt;0,RightArm/SinPhi,NA())</f>
        <v>43.48914057089355</v>
      </c>
      <c r="N120" t="s">
        <v>62</v>
      </c>
      <c r="O120" s="25"/>
      <c r="P120" s="25"/>
      <c r="Q120" s="25"/>
    </row>
    <row r="121" spans="1:17" ht="12">
      <c r="A121" s="1"/>
      <c r="C121" s="1"/>
      <c r="I121" s="3"/>
      <c r="O121" s="25"/>
      <c r="P121" s="25"/>
      <c r="Q121" s="25"/>
    </row>
    <row r="122" spans="3:7" ht="12">
      <c r="C122" s="1" t="s">
        <v>125</v>
      </c>
      <c r="F122" s="24">
        <f>ASIN(C139*D126/1000)*180/PI()</f>
        <v>0</v>
      </c>
      <c r="G122" t="s">
        <v>126</v>
      </c>
    </row>
    <row r="123" spans="3:7" ht="12">
      <c r="C123" s="1" t="s">
        <v>127</v>
      </c>
      <c r="F123" s="17">
        <f>N141/B120</f>
        <v>0.05177278639392088</v>
      </c>
      <c r="G123" s="1" t="s">
        <v>128</v>
      </c>
    </row>
    <row r="124" spans="3:7" ht="12">
      <c r="C124" s="1" t="s">
        <v>129</v>
      </c>
      <c r="F124" s="36">
        <f>(H141-H87)/H87</f>
        <v>-0.008908245371827017</v>
      </c>
      <c r="G124" s="1"/>
    </row>
    <row r="126" spans="3:16" ht="12">
      <c r="C126" s="3" t="s">
        <v>148</v>
      </c>
      <c r="D126" s="2">
        <f>SIN(PI()*HeelPhi/180)</f>
        <v>0.49999999999999994</v>
      </c>
      <c r="E126" s="3" t="s">
        <v>149</v>
      </c>
      <c r="F126" s="2">
        <f>SIN(PI()*F120/180)</f>
        <v>2.9336674961710096E-08</v>
      </c>
      <c r="H126" s="3" t="s">
        <v>150</v>
      </c>
      <c r="I126" s="2">
        <f>COS(PI()*HeelPhi/180)</f>
        <v>0.8660254037844387</v>
      </c>
      <c r="O126" s="21" t="s">
        <v>157</v>
      </c>
      <c r="P126" s="37"/>
    </row>
    <row r="127" spans="12:16" ht="12">
      <c r="L127" s="1" t="s">
        <v>130</v>
      </c>
      <c r="O127" s="21" t="s">
        <v>156</v>
      </c>
      <c r="P127" s="37"/>
    </row>
    <row r="128" spans="1:19" ht="12">
      <c r="A128" s="1" t="s">
        <v>131</v>
      </c>
      <c r="C128" s="3" t="s">
        <v>75</v>
      </c>
      <c r="D128" s="3" t="s">
        <v>132</v>
      </c>
      <c r="E128" s="3" t="s">
        <v>77</v>
      </c>
      <c r="F128" s="3" t="s">
        <v>133</v>
      </c>
      <c r="G128" s="3" t="s">
        <v>134</v>
      </c>
      <c r="H128" s="3" t="s">
        <v>135</v>
      </c>
      <c r="I128" s="3" t="s">
        <v>136</v>
      </c>
      <c r="J128" s="3" t="s">
        <v>137</v>
      </c>
      <c r="K128" s="3" t="s">
        <v>83</v>
      </c>
      <c r="L128" s="3" t="s">
        <v>138</v>
      </c>
      <c r="M128" s="3" t="s">
        <v>139</v>
      </c>
      <c r="N128" s="3" t="s">
        <v>140</v>
      </c>
      <c r="O128" s="3" t="s">
        <v>155</v>
      </c>
      <c r="P128" s="3"/>
      <c r="R128" s="3"/>
      <c r="S128" s="3"/>
    </row>
    <row r="129" spans="1:21" ht="12">
      <c r="A129" s="2">
        <f aca="true" t="shared" si="18" ref="A129:A139">A75</f>
        <v>0</v>
      </c>
      <c r="C129" s="14">
        <f aca="true" t="shared" si="19" ref="C129:C139">C75</f>
        <v>0</v>
      </c>
      <c r="D129" s="14">
        <f aca="true" t="shared" si="20" ref="D129:D139">(E75-(C129*CosPhi+Rise)-SinTrim*StnSpace*(LCB-A129))</f>
        <v>-5.401134354711214</v>
      </c>
      <c r="E129" s="14">
        <f aca="true" t="shared" si="21" ref="E129:E139">E75</f>
        <v>0</v>
      </c>
      <c r="F129" s="14">
        <f>IF(AND(D129&gt;0,E129&gt;0),SQRT(E129*E129-(E129-D129)^2),0)</f>
        <v>0</v>
      </c>
      <c r="G129" s="14">
        <f>IF(AND(D129&gt;0,E129&gt;0),ACOS((E129-D129)/E129)*(180/PI()),0)</f>
        <v>0</v>
      </c>
      <c r="H129" s="14">
        <f aca="true" t="shared" si="22" ref="H129:H139">4*PI()*E129*G129/360</f>
        <v>0</v>
      </c>
      <c r="I129" s="14">
        <f aca="true" t="shared" si="23" ref="I129:I139">2*G129*PI()*E129^2/360</f>
        <v>0</v>
      </c>
      <c r="J129" s="14">
        <f aca="true" t="shared" si="24" ref="J129:J139">I129-F129*(E129-D129)</f>
        <v>0</v>
      </c>
      <c r="K129" s="14">
        <f>J129</f>
        <v>0</v>
      </c>
      <c r="L129" s="14">
        <f aca="true" t="shared" si="25" ref="L129:L139">$C129*SinPhi+$F129</f>
        <v>0</v>
      </c>
      <c r="M129" s="14">
        <f aca="true" t="shared" si="26" ref="M129:M139">$C129*SinPhi-$F129</f>
        <v>0</v>
      </c>
      <c r="N129" s="14">
        <f aca="true" t="shared" si="27" ref="N129:N139">C129*J129*SinPhi</f>
        <v>0</v>
      </c>
      <c r="O129" s="34">
        <f aca="true" t="shared" si="28" ref="O129:O139">IF(F129&gt;0,$C129*SinPhi-RightArm,0)*J129/$J$141</f>
        <v>0</v>
      </c>
      <c r="P129" s="25"/>
      <c r="R129" s="27"/>
      <c r="S129" s="26"/>
      <c r="U129" s="27"/>
    </row>
    <row r="130" spans="1:21" ht="12">
      <c r="A130" s="2">
        <f t="shared" si="18"/>
        <v>1</v>
      </c>
      <c r="C130" s="14">
        <f t="shared" si="19"/>
        <v>14.824036097452714</v>
      </c>
      <c r="D130" s="14">
        <f t="shared" si="20"/>
        <v>12.594871814646346</v>
      </c>
      <c r="E130" s="14">
        <f t="shared" si="21"/>
        <v>30.833995082701648</v>
      </c>
      <c r="F130" s="14">
        <f aca="true" t="shared" si="29" ref="F130:F139">IF(AND(D130&gt;0,E130&gt;0),SQRT(E130*E130-(E130-D130)^2),0)</f>
        <v>24.8610063185856</v>
      </c>
      <c r="G130" s="14">
        <f aca="true" t="shared" si="30" ref="G130:G139">IF(AND(D130&gt;0,E130&gt;0),ACOS((E130-D130)/E130)*(180/PI()),0)</f>
        <v>53.7345961738615</v>
      </c>
      <c r="H130" s="14">
        <f t="shared" si="22"/>
        <v>57.83505480774533</v>
      </c>
      <c r="I130" s="14">
        <f t="shared" si="23"/>
        <v>891.6428977749</v>
      </c>
      <c r="J130" s="14">
        <f t="shared" si="24"/>
        <v>438.1999389623155</v>
      </c>
      <c r="K130" s="14">
        <f>2*J130</f>
        <v>876.399877924631</v>
      </c>
      <c r="L130" s="14">
        <f t="shared" si="25"/>
        <v>32.273024367311955</v>
      </c>
      <c r="M130" s="14">
        <f t="shared" si="26"/>
        <v>-17.448988269859242</v>
      </c>
      <c r="N130" s="14">
        <f t="shared" si="27"/>
        <v>3247.9458565394702</v>
      </c>
      <c r="O130" s="34">
        <f t="shared" si="28"/>
        <v>-0.16636509751479278</v>
      </c>
      <c r="P130" s="25"/>
      <c r="R130" s="27"/>
      <c r="S130" s="26"/>
      <c r="U130" s="27"/>
    </row>
    <row r="131" spans="1:21" ht="12">
      <c r="A131" s="2">
        <f t="shared" si="18"/>
        <v>2</v>
      </c>
      <c r="C131" s="14">
        <f t="shared" si="19"/>
        <v>27.45867377908831</v>
      </c>
      <c r="D131" s="14">
        <f t="shared" si="20"/>
        <v>27.933003926207327</v>
      </c>
      <c r="E131" s="14">
        <f t="shared" si="21"/>
        <v>57.114041460503685</v>
      </c>
      <c r="F131" s="14">
        <f t="shared" si="29"/>
        <v>49.096647343521546</v>
      </c>
      <c r="G131" s="14">
        <f t="shared" si="30"/>
        <v>59.27448324488487</v>
      </c>
      <c r="H131" s="14">
        <f t="shared" si="22"/>
        <v>118.17293777547079</v>
      </c>
      <c r="I131" s="14">
        <f t="shared" si="23"/>
        <v>3374.66703380888</v>
      </c>
      <c r="J131" s="14">
        <f t="shared" si="24"/>
        <v>1941.9759248694663</v>
      </c>
      <c r="K131" s="14">
        <f>3*J131</f>
        <v>5825.927774608399</v>
      </c>
      <c r="L131" s="14">
        <f t="shared" si="25"/>
        <v>62.8259842330657</v>
      </c>
      <c r="M131" s="14">
        <f t="shared" si="26"/>
        <v>-35.367310453977396</v>
      </c>
      <c r="N131" s="14">
        <f t="shared" si="27"/>
        <v>26662.04170391699</v>
      </c>
      <c r="O131" s="34">
        <f t="shared" si="28"/>
        <v>-0.41231239189708324</v>
      </c>
      <c r="P131" s="25"/>
      <c r="R131" s="27"/>
      <c r="S131" s="26"/>
      <c r="U131" s="27"/>
    </row>
    <row r="132" spans="1:21" ht="12">
      <c r="A132" s="2">
        <f t="shared" si="18"/>
        <v>3</v>
      </c>
      <c r="C132" s="14">
        <f t="shared" si="19"/>
        <v>37.64586668210466</v>
      </c>
      <c r="D132" s="14">
        <f t="shared" si="20"/>
        <v>40.30000025088412</v>
      </c>
      <c r="E132" s="14">
        <f t="shared" si="21"/>
        <v>78.30340269877769</v>
      </c>
      <c r="F132" s="14">
        <f t="shared" si="29"/>
        <v>68.46286786711745</v>
      </c>
      <c r="G132" s="14">
        <f t="shared" si="30"/>
        <v>60.96555981782793</v>
      </c>
      <c r="H132" s="14">
        <f t="shared" si="22"/>
        <v>166.6374319973009</v>
      </c>
      <c r="I132" s="14">
        <f t="shared" si="23"/>
        <v>6524.138971187416</v>
      </c>
      <c r="J132" s="14">
        <f t="shared" si="24"/>
        <v>3922.317050896391</v>
      </c>
      <c r="K132" s="14">
        <f>4*J132</f>
        <v>15689.268203585563</v>
      </c>
      <c r="L132" s="14">
        <f t="shared" si="25"/>
        <v>87.28580120816977</v>
      </c>
      <c r="M132" s="14">
        <f t="shared" si="26"/>
        <v>-49.639934526065126</v>
      </c>
      <c r="N132" s="14">
        <f t="shared" si="27"/>
        <v>73829.51239149571</v>
      </c>
      <c r="O132" s="34">
        <f t="shared" si="28"/>
        <v>-0.3035535500911788</v>
      </c>
      <c r="P132" s="25"/>
      <c r="R132" s="27"/>
      <c r="S132" s="26"/>
      <c r="U132" s="27"/>
    </row>
    <row r="133" spans="1:21" ht="12">
      <c r="A133" s="2">
        <f t="shared" si="18"/>
        <v>4</v>
      </c>
      <c r="C133" s="14">
        <f t="shared" si="19"/>
        <v>45.072506227594225</v>
      </c>
      <c r="D133" s="14">
        <f t="shared" si="20"/>
        <v>49.315754928025825</v>
      </c>
      <c r="E133" s="14">
        <f t="shared" si="21"/>
        <v>93.75081295339598</v>
      </c>
      <c r="F133" s="14">
        <f t="shared" si="29"/>
        <v>82.5514418269277</v>
      </c>
      <c r="G133" s="14">
        <f t="shared" si="30"/>
        <v>61.707702268605</v>
      </c>
      <c r="H133" s="14">
        <f t="shared" si="22"/>
        <v>201.93973456096938</v>
      </c>
      <c r="I133" s="14">
        <f t="shared" si="23"/>
        <v>9466.007141341937</v>
      </c>
      <c r="J133" s="14">
        <f t="shared" si="24"/>
        <v>5797.829033684437</v>
      </c>
      <c r="K133" s="14">
        <f>5*J133</f>
        <v>28989.145168422183</v>
      </c>
      <c r="L133" s="14">
        <f t="shared" si="25"/>
        <v>105.08769494072482</v>
      </c>
      <c r="M133" s="14">
        <f t="shared" si="26"/>
        <v>-60.01518871313059</v>
      </c>
      <c r="N133" s="14">
        <f t="shared" si="27"/>
        <v>130661.34261363417</v>
      </c>
      <c r="O133" s="34">
        <f t="shared" si="28"/>
        <v>0.12158584091068217</v>
      </c>
      <c r="P133" s="25"/>
      <c r="R133" s="27"/>
      <c r="S133" s="26"/>
      <c r="U133" s="27"/>
    </row>
    <row r="134" spans="1:21" ht="12">
      <c r="A134" s="2">
        <f t="shared" si="18"/>
        <v>5</v>
      </c>
      <c r="C134" s="14">
        <f t="shared" si="19"/>
        <v>49.35241818830248</v>
      </c>
      <c r="D134" s="14">
        <f t="shared" si="20"/>
        <v>54.511462256032296</v>
      </c>
      <c r="E134" s="14">
        <f t="shared" si="21"/>
        <v>102.65302983166916</v>
      </c>
      <c r="F134" s="14">
        <f t="shared" si="29"/>
        <v>90.66440318549473</v>
      </c>
      <c r="G134" s="14">
        <f t="shared" si="30"/>
        <v>62.032304515875296</v>
      </c>
      <c r="H134" s="14">
        <f t="shared" si="22"/>
        <v>222.27829205260656</v>
      </c>
      <c r="I134" s="14">
        <f t="shared" si="23"/>
        <v>11408.770072504345</v>
      </c>
      <c r="J134" s="14">
        <f t="shared" si="24"/>
        <v>7044.043579845064</v>
      </c>
      <c r="K134" s="14">
        <f>6*J134</f>
        <v>42264.26147907039</v>
      </c>
      <c r="L134" s="14">
        <f t="shared" si="25"/>
        <v>115.34061227964597</v>
      </c>
      <c r="M134" s="14">
        <f t="shared" si="26"/>
        <v>-65.9881940913435</v>
      </c>
      <c r="N134" s="14">
        <f t="shared" si="27"/>
        <v>173820.29224457042</v>
      </c>
      <c r="O134" s="34">
        <f t="shared" si="28"/>
        <v>0.5470145386874294</v>
      </c>
      <c r="P134" s="25"/>
      <c r="R134" s="27"/>
      <c r="S134" s="26"/>
      <c r="U134" s="27"/>
    </row>
    <row r="135" spans="1:21" ht="12">
      <c r="A135" s="2">
        <f t="shared" si="18"/>
        <v>6</v>
      </c>
      <c r="C135" s="14">
        <f t="shared" si="19"/>
        <v>50.000000000000014</v>
      </c>
      <c r="D135" s="14">
        <f t="shared" si="20"/>
        <v>55.297613058071846</v>
      </c>
      <c r="E135" s="14">
        <f t="shared" si="21"/>
        <v>104.00000000000003</v>
      </c>
      <c r="F135" s="14">
        <f t="shared" si="29"/>
        <v>91.89166178799199</v>
      </c>
      <c r="G135" s="14">
        <f t="shared" si="30"/>
        <v>62.076504625376714</v>
      </c>
      <c r="H135" s="14">
        <f t="shared" si="22"/>
        <v>225.3553939192011</v>
      </c>
      <c r="I135" s="14">
        <f t="shared" si="23"/>
        <v>11718.48048379846</v>
      </c>
      <c r="J135" s="14">
        <f t="shared" si="24"/>
        <v>7243.137214662877</v>
      </c>
      <c r="K135" s="14">
        <f>7*J135</f>
        <v>50701.96050264014</v>
      </c>
      <c r="L135" s="14">
        <f t="shared" si="25"/>
        <v>116.89166178799199</v>
      </c>
      <c r="M135" s="14">
        <f t="shared" si="26"/>
        <v>-66.89166178799199</v>
      </c>
      <c r="N135" s="14">
        <f t="shared" si="27"/>
        <v>181078.43036657196</v>
      </c>
      <c r="O135" s="34">
        <f t="shared" si="28"/>
        <v>0.6245991785904618</v>
      </c>
      <c r="P135" s="25"/>
      <c r="R135" s="27"/>
      <c r="S135" s="26"/>
      <c r="U135" s="27"/>
    </row>
    <row r="136" spans="1:21" ht="12">
      <c r="A136" s="2">
        <f t="shared" si="18"/>
        <v>7</v>
      </c>
      <c r="C136" s="14">
        <f t="shared" si="19"/>
        <v>46.390200517419764</v>
      </c>
      <c r="D136" s="14">
        <f t="shared" si="20"/>
        <v>50.91541112245483</v>
      </c>
      <c r="E136" s="14">
        <f t="shared" si="21"/>
        <v>96.4916170762331</v>
      </c>
      <c r="F136" s="14">
        <f t="shared" si="29"/>
        <v>85.04964207358655</v>
      </c>
      <c r="G136" s="14">
        <f t="shared" si="30"/>
        <v>61.814135636535994</v>
      </c>
      <c r="H136" s="14">
        <f t="shared" si="22"/>
        <v>208.2019288829846</v>
      </c>
      <c r="I136" s="14">
        <f t="shared" si="23"/>
        <v>10044.870398155033</v>
      </c>
      <c r="J136" s="14">
        <f t="shared" si="24"/>
        <v>6168.630394714127</v>
      </c>
      <c r="K136" s="14">
        <f>8*J136</f>
        <v>49349.043157713015</v>
      </c>
      <c r="L136" s="14">
        <f t="shared" si="25"/>
        <v>108.24474233229643</v>
      </c>
      <c r="M136" s="14">
        <f t="shared" si="26"/>
        <v>-61.854541814876676</v>
      </c>
      <c r="N136" s="14">
        <f t="shared" si="27"/>
        <v>143082.00046431925</v>
      </c>
      <c r="O136" s="34">
        <f t="shared" si="28"/>
        <v>0.2370182731651013</v>
      </c>
      <c r="P136" s="25"/>
      <c r="R136" s="27"/>
      <c r="S136" s="26"/>
      <c r="U136" s="27"/>
    </row>
    <row r="137" spans="1:21" ht="12">
      <c r="A137" s="2">
        <f t="shared" si="18"/>
        <v>8</v>
      </c>
      <c r="C137" s="14">
        <f t="shared" si="19"/>
        <v>37.695048846692686</v>
      </c>
      <c r="D137" s="14">
        <f t="shared" si="20"/>
        <v>40.359720817618374</v>
      </c>
      <c r="E137" s="14">
        <f t="shared" si="21"/>
        <v>78.4057016011208</v>
      </c>
      <c r="F137" s="14">
        <f t="shared" si="29"/>
        <v>68.55623523637628</v>
      </c>
      <c r="G137" s="14">
        <f t="shared" si="30"/>
        <v>60.97146950613345</v>
      </c>
      <c r="H137" s="14">
        <f t="shared" si="22"/>
        <v>166.87130831995063</v>
      </c>
      <c r="I137" s="14">
        <f t="shared" si="23"/>
        <v>6541.831002961337</v>
      </c>
      <c r="J137" s="14">
        <f t="shared" si="24"/>
        <v>3933.5417945688932</v>
      </c>
      <c r="K137" s="14">
        <f>9*J137</f>
        <v>35401.87615112004</v>
      </c>
      <c r="L137" s="14">
        <f t="shared" si="25"/>
        <v>87.40375965972262</v>
      </c>
      <c r="M137" s="14">
        <f t="shared" si="26"/>
        <v>-49.70871081302994</v>
      </c>
      <c r="N137" s="14">
        <f t="shared" si="27"/>
        <v>74137.52504339081</v>
      </c>
      <c r="O137" s="34">
        <f t="shared" si="28"/>
        <v>-0.30185996148329547</v>
      </c>
      <c r="P137" s="25"/>
      <c r="R137" s="27"/>
      <c r="S137" s="35"/>
      <c r="U137" s="27"/>
    </row>
    <row r="138" spans="1:21" ht="12">
      <c r="A138" s="2">
        <f t="shared" si="18"/>
        <v>9</v>
      </c>
      <c r="C138" s="14">
        <f t="shared" si="19"/>
        <v>22.77736902892438</v>
      </c>
      <c r="D138" s="14">
        <f t="shared" si="20"/>
        <v>22.25003941803756</v>
      </c>
      <c r="E138" s="14">
        <f t="shared" si="21"/>
        <v>47.376927580162715</v>
      </c>
      <c r="F138" s="14">
        <f t="shared" si="29"/>
        <v>40.164819907775474</v>
      </c>
      <c r="G138" s="14">
        <f t="shared" si="30"/>
        <v>57.97013139158315</v>
      </c>
      <c r="H138" s="14">
        <f t="shared" si="22"/>
        <v>95.86907587580538</v>
      </c>
      <c r="I138" s="14">
        <f t="shared" si="23"/>
        <v>2270.991132472578</v>
      </c>
      <c r="J138" s="14">
        <f t="shared" si="24"/>
        <v>1261.7741945980058</v>
      </c>
      <c r="K138" s="14">
        <f>10*J138</f>
        <v>12617.741945980059</v>
      </c>
      <c r="L138" s="14">
        <f t="shared" si="25"/>
        <v>51.553504422237665</v>
      </c>
      <c r="M138" s="14">
        <f t="shared" si="26"/>
        <v>-28.776135393313286</v>
      </c>
      <c r="N138" s="14">
        <f t="shared" si="27"/>
        <v>14369.94823076631</v>
      </c>
      <c r="O138" s="34">
        <f t="shared" si="28"/>
        <v>-0.34612683036732145</v>
      </c>
      <c r="P138" s="25"/>
      <c r="R138" s="27"/>
      <c r="S138" s="26"/>
      <c r="U138" s="27"/>
    </row>
    <row r="139" spans="1:21" ht="12">
      <c r="A139" s="2">
        <f t="shared" si="18"/>
        <v>10</v>
      </c>
      <c r="C139" s="14">
        <f t="shared" si="19"/>
        <v>0</v>
      </c>
      <c r="D139" s="14">
        <f t="shared" si="20"/>
        <v>-5.401105018036253</v>
      </c>
      <c r="E139" s="14">
        <f t="shared" si="21"/>
        <v>0</v>
      </c>
      <c r="F139" s="14">
        <f t="shared" si="29"/>
        <v>0</v>
      </c>
      <c r="G139" s="14">
        <f t="shared" si="30"/>
        <v>0</v>
      </c>
      <c r="H139" s="14">
        <f t="shared" si="22"/>
        <v>0</v>
      </c>
      <c r="I139" s="14">
        <f t="shared" si="23"/>
        <v>0</v>
      </c>
      <c r="J139" s="14">
        <f t="shared" si="24"/>
        <v>0</v>
      </c>
      <c r="K139" s="14">
        <f>11*J139</f>
        <v>0</v>
      </c>
      <c r="L139" s="14">
        <f t="shared" si="25"/>
        <v>0</v>
      </c>
      <c r="M139" s="14">
        <f t="shared" si="26"/>
        <v>0</v>
      </c>
      <c r="N139" s="14">
        <f t="shared" si="27"/>
        <v>0</v>
      </c>
      <c r="O139" s="34">
        <f t="shared" si="28"/>
        <v>0</v>
      </c>
      <c r="P139" s="25"/>
      <c r="R139" s="27"/>
      <c r="S139" s="26"/>
      <c r="U139" s="27"/>
    </row>
    <row r="140" ht="12">
      <c r="S140" s="26"/>
    </row>
    <row r="141" spans="5:15" ht="12">
      <c r="E141" s="1" t="s">
        <v>141</v>
      </c>
      <c r="H141" s="12">
        <f>$C$72*(H129+4*H130+2*H131+4*H132+2*H133+4*H134+2*H135+4*H136+2*H137+4*H138+H139)/(3*100)</f>
        <v>1475.9886278723181</v>
      </c>
      <c r="J141" s="2">
        <f>SUM(J129:J139)</f>
        <v>37751.449126801584</v>
      </c>
      <c r="N141" s="24">
        <f>SUM(N129:N139)/J141</f>
        <v>21.74457028544677</v>
      </c>
      <c r="O141" t="s">
        <v>153</v>
      </c>
    </row>
    <row r="142" spans="5:11" ht="12">
      <c r="E142" s="1" t="s">
        <v>88</v>
      </c>
      <c r="J142" s="12">
        <f>$C$72*(J129+4*J130+2*J131+4*J132+2*J133+4*J134+2*J135+4*J136+2*J137+4*J138+J139)/(3*1000)</f>
        <v>3772.427619054499</v>
      </c>
      <c r="K142" s="2">
        <f>SUM(K129:K139)</f>
        <v>241715.62426106445</v>
      </c>
    </row>
    <row r="143" spans="5:11" ht="12">
      <c r="E143" s="1" t="s">
        <v>92</v>
      </c>
      <c r="K143" s="16">
        <f>K142/J141-1</f>
        <v>5.402817106415626</v>
      </c>
    </row>
    <row r="144" spans="9:11" ht="12">
      <c r="I144" s="29">
        <f>D129-D139</f>
        <v>-2.933667496129999E-05</v>
      </c>
      <c r="J144" s="25">
        <f>J119-J120</f>
        <v>9.750647222972475E-08</v>
      </c>
      <c r="K144" t="s">
        <v>142</v>
      </c>
    </row>
    <row r="146" ht="12">
      <c r="A146" s="1" t="s">
        <v>151</v>
      </c>
    </row>
    <row r="147" ht="12">
      <c r="A147" s="1" t="s">
        <v>152</v>
      </c>
    </row>
  </sheetData>
  <printOptions/>
  <pageMargins left="0.75" right="0.75" top="1" bottom="1" header="0.5" footer="0.5"/>
  <pageSetup horizontalDpi="300" verticalDpi="300" orientation="landscape" paperSize="9" r:id="rId2"/>
  <rowBreaks count="1" manualBreakCount="1">
    <brk id="64" max="65535" man="1"/>
  </rowBreaks>
  <ignoredErrors>
    <ignoredError sqref="D129:D1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56"/>
  <sheetViews>
    <sheetView workbookViewId="0" topLeftCell="A28">
      <selection activeCell="A28" sqref="A28"/>
    </sheetView>
  </sheetViews>
  <sheetFormatPr defaultColWidth="9.00390625" defaultRowHeight="12.75"/>
  <cols>
    <col min="1" max="2" width="6.00390625" style="0" customWidth="1"/>
    <col min="3" max="3" width="4.25390625" style="0" customWidth="1"/>
    <col min="4" max="4" width="7.125" style="0" customWidth="1"/>
    <col min="5" max="57" width="4.875" style="0" customWidth="1"/>
  </cols>
  <sheetData>
    <row r="1" spans="1:4" ht="12">
      <c r="A1" t="s">
        <v>143</v>
      </c>
      <c r="C1" s="22">
        <v>60</v>
      </c>
      <c r="D1">
        <v>5</v>
      </c>
    </row>
    <row r="2" spans="5:57" ht="12">
      <c r="E2">
        <v>-130</v>
      </c>
      <c r="F2">
        <f aca="true" t="shared" si="0" ref="F2:O2">E2+$D$1</f>
        <v>-125</v>
      </c>
      <c r="G2">
        <f t="shared" si="0"/>
        <v>-120</v>
      </c>
      <c r="H2">
        <f t="shared" si="0"/>
        <v>-115</v>
      </c>
      <c r="I2">
        <f t="shared" si="0"/>
        <v>-110</v>
      </c>
      <c r="J2">
        <f t="shared" si="0"/>
        <v>-105</v>
      </c>
      <c r="K2">
        <f t="shared" si="0"/>
        <v>-100</v>
      </c>
      <c r="L2">
        <f t="shared" si="0"/>
        <v>-95</v>
      </c>
      <c r="M2">
        <f t="shared" si="0"/>
        <v>-90</v>
      </c>
      <c r="N2">
        <f t="shared" si="0"/>
        <v>-85</v>
      </c>
      <c r="O2">
        <f t="shared" si="0"/>
        <v>-80</v>
      </c>
      <c r="P2">
        <f aca="true" t="shared" si="1" ref="P2:Y2">O2+$D$1</f>
        <v>-75</v>
      </c>
      <c r="Q2">
        <f t="shared" si="1"/>
        <v>-70</v>
      </c>
      <c r="R2">
        <f t="shared" si="1"/>
        <v>-65</v>
      </c>
      <c r="S2">
        <f t="shared" si="1"/>
        <v>-60</v>
      </c>
      <c r="T2">
        <f t="shared" si="1"/>
        <v>-55</v>
      </c>
      <c r="U2">
        <f t="shared" si="1"/>
        <v>-50</v>
      </c>
      <c r="V2">
        <f t="shared" si="1"/>
        <v>-45</v>
      </c>
      <c r="W2">
        <f t="shared" si="1"/>
        <v>-40</v>
      </c>
      <c r="X2">
        <f t="shared" si="1"/>
        <v>-35</v>
      </c>
      <c r="Y2">
        <f t="shared" si="1"/>
        <v>-30</v>
      </c>
      <c r="Z2">
        <f aca="true" t="shared" si="2" ref="Z2:AI2">Y2+$D$1</f>
        <v>-25</v>
      </c>
      <c r="AA2">
        <f t="shared" si="2"/>
        <v>-20</v>
      </c>
      <c r="AB2">
        <f t="shared" si="2"/>
        <v>-15</v>
      </c>
      <c r="AC2">
        <f t="shared" si="2"/>
        <v>-10</v>
      </c>
      <c r="AD2">
        <f t="shared" si="2"/>
        <v>-5</v>
      </c>
      <c r="AE2">
        <f t="shared" si="2"/>
        <v>0</v>
      </c>
      <c r="AF2">
        <f t="shared" si="2"/>
        <v>5</v>
      </c>
      <c r="AG2">
        <f t="shared" si="2"/>
        <v>10</v>
      </c>
      <c r="AH2">
        <f t="shared" si="2"/>
        <v>15</v>
      </c>
      <c r="AI2">
        <f t="shared" si="2"/>
        <v>20</v>
      </c>
      <c r="AJ2">
        <f aca="true" t="shared" si="3" ref="AJ2:AS2">AI2+$D$1</f>
        <v>25</v>
      </c>
      <c r="AK2">
        <f t="shared" si="3"/>
        <v>30</v>
      </c>
      <c r="AL2">
        <f t="shared" si="3"/>
        <v>35</v>
      </c>
      <c r="AM2">
        <f t="shared" si="3"/>
        <v>40</v>
      </c>
      <c r="AN2">
        <f t="shared" si="3"/>
        <v>45</v>
      </c>
      <c r="AO2">
        <f t="shared" si="3"/>
        <v>50</v>
      </c>
      <c r="AP2">
        <f t="shared" si="3"/>
        <v>55</v>
      </c>
      <c r="AQ2">
        <f t="shared" si="3"/>
        <v>60</v>
      </c>
      <c r="AR2">
        <f t="shared" si="3"/>
        <v>65</v>
      </c>
      <c r="AS2">
        <f t="shared" si="3"/>
        <v>70</v>
      </c>
      <c r="AT2">
        <f aca="true" t="shared" si="4" ref="AT2:BE2">AS2+$D$1</f>
        <v>75</v>
      </c>
      <c r="AU2">
        <f t="shared" si="4"/>
        <v>80</v>
      </c>
      <c r="AV2">
        <f t="shared" si="4"/>
        <v>85</v>
      </c>
      <c r="AW2">
        <f t="shared" si="4"/>
        <v>90</v>
      </c>
      <c r="AX2">
        <f t="shared" si="4"/>
        <v>95</v>
      </c>
      <c r="AY2">
        <f t="shared" si="4"/>
        <v>100</v>
      </c>
      <c r="AZ2">
        <f t="shared" si="4"/>
        <v>105</v>
      </c>
      <c r="BA2">
        <f t="shared" si="4"/>
        <v>110</v>
      </c>
      <c r="BB2">
        <f t="shared" si="4"/>
        <v>115</v>
      </c>
      <c r="BC2">
        <f t="shared" si="4"/>
        <v>120</v>
      </c>
      <c r="BD2">
        <f t="shared" si="4"/>
        <v>125</v>
      </c>
      <c r="BE2">
        <f t="shared" si="4"/>
        <v>130</v>
      </c>
    </row>
    <row r="3" spans="1:57" ht="12">
      <c r="A3" s="21" t="str">
        <f>DESIGN!C74</f>
        <v>Axis</v>
      </c>
      <c r="B3" s="21" t="str">
        <f>DESIGN!D74</f>
        <v>d</v>
      </c>
      <c r="C3" s="21" t="str">
        <f>DESIGN!E74</f>
        <v>R</v>
      </c>
      <c r="D3" s="21" t="s">
        <v>144</v>
      </c>
      <c r="E3">
        <f>E2^2</f>
        <v>16900</v>
      </c>
      <c r="F3">
        <f aca="true" t="shared" si="5" ref="F3:U3">F2^2</f>
        <v>15625</v>
      </c>
      <c r="G3">
        <f t="shared" si="5"/>
        <v>14400</v>
      </c>
      <c r="H3">
        <f t="shared" si="5"/>
        <v>13225</v>
      </c>
      <c r="I3">
        <f t="shared" si="5"/>
        <v>12100</v>
      </c>
      <c r="J3">
        <f t="shared" si="5"/>
        <v>11025</v>
      </c>
      <c r="K3">
        <f t="shared" si="5"/>
        <v>10000</v>
      </c>
      <c r="L3">
        <f t="shared" si="5"/>
        <v>9025</v>
      </c>
      <c r="M3">
        <f t="shared" si="5"/>
        <v>8100</v>
      </c>
      <c r="N3">
        <f t="shared" si="5"/>
        <v>7225</v>
      </c>
      <c r="O3">
        <f t="shared" si="5"/>
        <v>6400</v>
      </c>
      <c r="P3">
        <f t="shared" si="5"/>
        <v>5625</v>
      </c>
      <c r="Q3">
        <f t="shared" si="5"/>
        <v>4900</v>
      </c>
      <c r="R3">
        <f t="shared" si="5"/>
        <v>4225</v>
      </c>
      <c r="S3">
        <f t="shared" si="5"/>
        <v>3600</v>
      </c>
      <c r="T3">
        <f t="shared" si="5"/>
        <v>3025</v>
      </c>
      <c r="U3">
        <f t="shared" si="5"/>
        <v>2500</v>
      </c>
      <c r="V3">
        <f aca="true" t="shared" si="6" ref="V3:AK3">V2^2</f>
        <v>2025</v>
      </c>
      <c r="W3">
        <f t="shared" si="6"/>
        <v>1600</v>
      </c>
      <c r="X3">
        <f t="shared" si="6"/>
        <v>1225</v>
      </c>
      <c r="Y3">
        <f t="shared" si="6"/>
        <v>900</v>
      </c>
      <c r="Z3">
        <f t="shared" si="6"/>
        <v>625</v>
      </c>
      <c r="AA3">
        <f t="shared" si="6"/>
        <v>400</v>
      </c>
      <c r="AB3">
        <f t="shared" si="6"/>
        <v>225</v>
      </c>
      <c r="AC3">
        <f t="shared" si="6"/>
        <v>100</v>
      </c>
      <c r="AD3">
        <f t="shared" si="6"/>
        <v>25</v>
      </c>
      <c r="AE3">
        <f t="shared" si="6"/>
        <v>0</v>
      </c>
      <c r="AF3">
        <f t="shared" si="6"/>
        <v>25</v>
      </c>
      <c r="AG3">
        <f t="shared" si="6"/>
        <v>100</v>
      </c>
      <c r="AH3">
        <f t="shared" si="6"/>
        <v>225</v>
      </c>
      <c r="AI3">
        <f t="shared" si="6"/>
        <v>400</v>
      </c>
      <c r="AJ3">
        <f t="shared" si="6"/>
        <v>625</v>
      </c>
      <c r="AK3">
        <f t="shared" si="6"/>
        <v>900</v>
      </c>
      <c r="AL3">
        <f aca="true" t="shared" si="7" ref="AL3:BA3">AL2^2</f>
        <v>1225</v>
      </c>
      <c r="AM3">
        <f t="shared" si="7"/>
        <v>1600</v>
      </c>
      <c r="AN3">
        <f t="shared" si="7"/>
        <v>2025</v>
      </c>
      <c r="AO3">
        <f t="shared" si="7"/>
        <v>2500</v>
      </c>
      <c r="AP3">
        <f t="shared" si="7"/>
        <v>3025</v>
      </c>
      <c r="AQ3">
        <f t="shared" si="7"/>
        <v>3600</v>
      </c>
      <c r="AR3">
        <f t="shared" si="7"/>
        <v>4225</v>
      </c>
      <c r="AS3">
        <f t="shared" si="7"/>
        <v>4900</v>
      </c>
      <c r="AT3">
        <f t="shared" si="7"/>
        <v>5625</v>
      </c>
      <c r="AU3">
        <f t="shared" si="7"/>
        <v>6400</v>
      </c>
      <c r="AV3">
        <f t="shared" si="7"/>
        <v>7225</v>
      </c>
      <c r="AW3">
        <f t="shared" si="7"/>
        <v>8100</v>
      </c>
      <c r="AX3">
        <f t="shared" si="7"/>
        <v>9025</v>
      </c>
      <c r="AY3">
        <f t="shared" si="7"/>
        <v>10000</v>
      </c>
      <c r="AZ3">
        <f t="shared" si="7"/>
        <v>11025</v>
      </c>
      <c r="BA3">
        <f t="shared" si="7"/>
        <v>12100</v>
      </c>
      <c r="BB3">
        <f>BB2^2</f>
        <v>13225</v>
      </c>
      <c r="BC3">
        <f>BC2^2</f>
        <v>14400</v>
      </c>
      <c r="BD3">
        <f>BD2^2</f>
        <v>15625</v>
      </c>
      <c r="BE3">
        <f>BE2^2</f>
        <v>16900</v>
      </c>
    </row>
    <row r="4" spans="1:57" ht="12">
      <c r="A4">
        <f>DESIGN!C75</f>
        <v>0</v>
      </c>
      <c r="B4">
        <f>DESIGN!D75</f>
        <v>0</v>
      </c>
      <c r="C4">
        <f>DESIGN!E75</f>
        <v>0</v>
      </c>
      <c r="D4">
        <f>C4^2</f>
        <v>0</v>
      </c>
      <c r="E4" t="e">
        <f aca="true" t="shared" si="8" ref="E4:U14">-(IF($D4&gt;E$3,SQRT($D4-E$3),NA())-$A4)</f>
        <v>#N/A</v>
      </c>
      <c r="F4" t="e">
        <f t="shared" si="8"/>
        <v>#N/A</v>
      </c>
      <c r="G4" t="e">
        <f t="shared" si="8"/>
        <v>#N/A</v>
      </c>
      <c r="H4" t="e">
        <f t="shared" si="8"/>
        <v>#N/A</v>
      </c>
      <c r="I4" t="e">
        <f t="shared" si="8"/>
        <v>#N/A</v>
      </c>
      <c r="J4" t="e">
        <f t="shared" si="8"/>
        <v>#N/A</v>
      </c>
      <c r="K4" t="e">
        <f t="shared" si="8"/>
        <v>#N/A</v>
      </c>
      <c r="L4" t="e">
        <f t="shared" si="8"/>
        <v>#N/A</v>
      </c>
      <c r="M4" t="e">
        <f t="shared" si="8"/>
        <v>#N/A</v>
      </c>
      <c r="N4" t="e">
        <f t="shared" si="8"/>
        <v>#N/A</v>
      </c>
      <c r="O4" t="e">
        <f t="shared" si="8"/>
        <v>#N/A</v>
      </c>
      <c r="P4" t="e">
        <f t="shared" si="8"/>
        <v>#N/A</v>
      </c>
      <c r="Q4" t="e">
        <f t="shared" si="8"/>
        <v>#N/A</v>
      </c>
      <c r="R4" t="e">
        <f t="shared" si="8"/>
        <v>#N/A</v>
      </c>
      <c r="S4" t="e">
        <f t="shared" si="8"/>
        <v>#N/A</v>
      </c>
      <c r="T4" t="e">
        <f t="shared" si="8"/>
        <v>#N/A</v>
      </c>
      <c r="U4" t="e">
        <f t="shared" si="8"/>
        <v>#N/A</v>
      </c>
      <c r="V4" t="e">
        <f aca="true" t="shared" si="9" ref="V4:AK14">-(IF($D4&gt;V$3,SQRT($D4-V$3),NA())-$A4)</f>
        <v>#N/A</v>
      </c>
      <c r="W4" t="e">
        <f t="shared" si="9"/>
        <v>#N/A</v>
      </c>
      <c r="X4" t="e">
        <f t="shared" si="9"/>
        <v>#N/A</v>
      </c>
      <c r="Y4" t="e">
        <f t="shared" si="9"/>
        <v>#N/A</v>
      </c>
      <c r="Z4" t="e">
        <f t="shared" si="9"/>
        <v>#N/A</v>
      </c>
      <c r="AA4" t="e">
        <f t="shared" si="9"/>
        <v>#N/A</v>
      </c>
      <c r="AB4" t="e">
        <f t="shared" si="9"/>
        <v>#N/A</v>
      </c>
      <c r="AC4" t="e">
        <f t="shared" si="9"/>
        <v>#N/A</v>
      </c>
      <c r="AD4" t="e">
        <f t="shared" si="9"/>
        <v>#N/A</v>
      </c>
      <c r="AE4" t="e">
        <f t="shared" si="9"/>
        <v>#N/A</v>
      </c>
      <c r="AF4" t="e">
        <f t="shared" si="9"/>
        <v>#N/A</v>
      </c>
      <c r="AG4" t="e">
        <f t="shared" si="9"/>
        <v>#N/A</v>
      </c>
      <c r="AH4" t="e">
        <f t="shared" si="9"/>
        <v>#N/A</v>
      </c>
      <c r="AI4" t="e">
        <f t="shared" si="9"/>
        <v>#N/A</v>
      </c>
      <c r="AJ4" t="e">
        <f t="shared" si="9"/>
        <v>#N/A</v>
      </c>
      <c r="AK4" t="e">
        <f t="shared" si="9"/>
        <v>#N/A</v>
      </c>
      <c r="AL4" t="e">
        <f aca="true" t="shared" si="10" ref="AL4:BA14">-(IF($D4&gt;AL$3,SQRT($D4-AL$3),NA())-$A4)</f>
        <v>#N/A</v>
      </c>
      <c r="AM4" t="e">
        <f t="shared" si="10"/>
        <v>#N/A</v>
      </c>
      <c r="AN4" t="e">
        <f t="shared" si="10"/>
        <v>#N/A</v>
      </c>
      <c r="AO4" t="e">
        <f t="shared" si="10"/>
        <v>#N/A</v>
      </c>
      <c r="AP4" t="e">
        <f t="shared" si="10"/>
        <v>#N/A</v>
      </c>
      <c r="AQ4" t="e">
        <f t="shared" si="10"/>
        <v>#N/A</v>
      </c>
      <c r="AR4" t="e">
        <f t="shared" si="10"/>
        <v>#N/A</v>
      </c>
      <c r="AS4" t="e">
        <f t="shared" si="10"/>
        <v>#N/A</v>
      </c>
      <c r="AT4" t="e">
        <f t="shared" si="10"/>
        <v>#N/A</v>
      </c>
      <c r="AU4" t="e">
        <f t="shared" si="10"/>
        <v>#N/A</v>
      </c>
      <c r="AV4" t="e">
        <f t="shared" si="10"/>
        <v>#N/A</v>
      </c>
      <c r="AW4" t="e">
        <f t="shared" si="10"/>
        <v>#N/A</v>
      </c>
      <c r="AX4" t="e">
        <f t="shared" si="10"/>
        <v>#N/A</v>
      </c>
      <c r="AY4" t="e">
        <f t="shared" si="10"/>
        <v>#N/A</v>
      </c>
      <c r="AZ4" t="e">
        <f t="shared" si="10"/>
        <v>#N/A</v>
      </c>
      <c r="BA4" t="e">
        <f t="shared" si="10"/>
        <v>#N/A</v>
      </c>
      <c r="BB4" t="e">
        <f aca="true" t="shared" si="11" ref="BB4:BE14">-(IF($D4&gt;BB$3,SQRT($D4-BB$3),NA())-$A4)</f>
        <v>#N/A</v>
      </c>
      <c r="BC4" t="e">
        <f t="shared" si="11"/>
        <v>#N/A</v>
      </c>
      <c r="BD4" t="e">
        <f t="shared" si="11"/>
        <v>#N/A</v>
      </c>
      <c r="BE4" t="e">
        <f t="shared" si="11"/>
        <v>#N/A</v>
      </c>
    </row>
    <row r="5" spans="1:57" ht="12">
      <c r="A5">
        <f>DESIGN!C76</f>
        <v>14.824036097452714</v>
      </c>
      <c r="B5">
        <f>DESIGN!D76</f>
        <v>16.009958985248932</v>
      </c>
      <c r="C5">
        <f>DESIGN!E76</f>
        <v>30.833995082701648</v>
      </c>
      <c r="D5">
        <f aca="true" t="shared" si="12" ref="D5:D14">C5^2</f>
        <v>950.7352527600694</v>
      </c>
      <c r="E5" t="e">
        <f t="shared" si="8"/>
        <v>#N/A</v>
      </c>
      <c r="F5" t="e">
        <f t="shared" si="8"/>
        <v>#N/A</v>
      </c>
      <c r="G5" t="e">
        <f t="shared" si="8"/>
        <v>#N/A</v>
      </c>
      <c r="H5" t="e">
        <f t="shared" si="8"/>
        <v>#N/A</v>
      </c>
      <c r="I5" t="e">
        <f t="shared" si="8"/>
        <v>#N/A</v>
      </c>
      <c r="J5" t="e">
        <f t="shared" si="8"/>
        <v>#N/A</v>
      </c>
      <c r="K5" t="e">
        <f t="shared" si="8"/>
        <v>#N/A</v>
      </c>
      <c r="L5" t="e">
        <f t="shared" si="8"/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T5" t="e">
        <f t="shared" si="8"/>
        <v>#N/A</v>
      </c>
      <c r="U5" t="e">
        <f t="shared" si="8"/>
        <v>#N/A</v>
      </c>
      <c r="V5" t="e">
        <f t="shared" si="9"/>
        <v>#N/A</v>
      </c>
      <c r="W5" t="e">
        <f t="shared" si="9"/>
        <v>#N/A</v>
      </c>
      <c r="X5" t="e">
        <f t="shared" si="9"/>
        <v>#N/A</v>
      </c>
      <c r="Y5">
        <f t="shared" si="9"/>
        <v>7.7011678015996</v>
      </c>
      <c r="Z5">
        <f t="shared" si="9"/>
        <v>-3.2241010019841543</v>
      </c>
      <c r="AA5">
        <f t="shared" si="9"/>
        <v>-8.643713107787859</v>
      </c>
      <c r="AB5">
        <f t="shared" si="9"/>
        <v>-12.11543777937104</v>
      </c>
      <c r="AC5">
        <f t="shared" si="9"/>
        <v>-14.343330131949445</v>
      </c>
      <c r="AD5">
        <f t="shared" si="9"/>
        <v>-15.601861633921944</v>
      </c>
      <c r="AE5">
        <f t="shared" si="9"/>
        <v>-16.009958985248936</v>
      </c>
      <c r="AF5">
        <f t="shared" si="9"/>
        <v>-15.601861633921944</v>
      </c>
      <c r="AG5">
        <f t="shared" si="9"/>
        <v>-14.343330131949445</v>
      </c>
      <c r="AH5">
        <f t="shared" si="9"/>
        <v>-12.11543777937104</v>
      </c>
      <c r="AI5">
        <f t="shared" si="9"/>
        <v>-8.643713107787859</v>
      </c>
      <c r="AJ5">
        <f t="shared" si="9"/>
        <v>-3.2241010019841543</v>
      </c>
      <c r="AK5">
        <f t="shared" si="9"/>
        <v>7.7011678015996</v>
      </c>
      <c r="AL5" t="e">
        <f t="shared" si="10"/>
        <v>#N/A</v>
      </c>
      <c r="AM5" t="e">
        <f t="shared" si="10"/>
        <v>#N/A</v>
      </c>
      <c r="AN5" t="e">
        <f t="shared" si="10"/>
        <v>#N/A</v>
      </c>
      <c r="AO5" t="e">
        <f t="shared" si="10"/>
        <v>#N/A</v>
      </c>
      <c r="AP5" t="e">
        <f t="shared" si="10"/>
        <v>#N/A</v>
      </c>
      <c r="AQ5" t="e">
        <f t="shared" si="10"/>
        <v>#N/A</v>
      </c>
      <c r="AR5" t="e">
        <f t="shared" si="10"/>
        <v>#N/A</v>
      </c>
      <c r="AS5" t="e">
        <f t="shared" si="10"/>
        <v>#N/A</v>
      </c>
      <c r="AT5" t="e">
        <f t="shared" si="10"/>
        <v>#N/A</v>
      </c>
      <c r="AU5" t="e">
        <f t="shared" si="10"/>
        <v>#N/A</v>
      </c>
      <c r="AV5" t="e">
        <f t="shared" si="10"/>
        <v>#N/A</v>
      </c>
      <c r="AW5" t="e">
        <f t="shared" si="10"/>
        <v>#N/A</v>
      </c>
      <c r="AX5" t="e">
        <f t="shared" si="10"/>
        <v>#N/A</v>
      </c>
      <c r="AY5" t="e">
        <f t="shared" si="10"/>
        <v>#N/A</v>
      </c>
      <c r="AZ5" t="e">
        <f t="shared" si="10"/>
        <v>#N/A</v>
      </c>
      <c r="BA5" t="e">
        <f t="shared" si="10"/>
        <v>#N/A</v>
      </c>
      <c r="BB5" t="e">
        <f t="shared" si="11"/>
        <v>#N/A</v>
      </c>
      <c r="BC5" t="e">
        <f t="shared" si="11"/>
        <v>#N/A</v>
      </c>
      <c r="BD5" t="e">
        <f t="shared" si="11"/>
        <v>#N/A</v>
      </c>
      <c r="BE5" t="e">
        <f t="shared" si="11"/>
        <v>#N/A</v>
      </c>
    </row>
    <row r="6" spans="1:57" ht="12">
      <c r="A6">
        <f>DESIGN!C77</f>
        <v>27.45867377908831</v>
      </c>
      <c r="B6">
        <f>DESIGN!D77</f>
        <v>29.655367681415374</v>
      </c>
      <c r="C6">
        <f>DESIGN!E77</f>
        <v>57.114041460503685</v>
      </c>
      <c r="D6">
        <f t="shared" si="12"/>
        <v>3262.013731952134</v>
      </c>
      <c r="E6" t="e">
        <f t="shared" si="8"/>
        <v>#N/A</v>
      </c>
      <c r="F6" t="e">
        <f t="shared" si="8"/>
        <v>#N/A</v>
      </c>
      <c r="G6" t="e">
        <f t="shared" si="8"/>
        <v>#N/A</v>
      </c>
      <c r="H6" t="e">
        <f t="shared" si="8"/>
        <v>#N/A</v>
      </c>
      <c r="I6" t="e">
        <f t="shared" si="8"/>
        <v>#N/A</v>
      </c>
      <c r="J6" t="e">
        <f t="shared" si="8"/>
        <v>#N/A</v>
      </c>
      <c r="K6" t="e">
        <f t="shared" si="8"/>
        <v>#N/A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T6">
        <f t="shared" si="8"/>
        <v>12.063423474136005</v>
      </c>
      <c r="U6">
        <f t="shared" si="8"/>
        <v>-0.14592243154541862</v>
      </c>
      <c r="V6">
        <f t="shared" si="9"/>
        <v>-7.712532227418404</v>
      </c>
      <c r="W6">
        <f t="shared" si="9"/>
        <v>-13.309128859171874</v>
      </c>
      <c r="X6">
        <f t="shared" si="9"/>
        <v>-17.674614733406923</v>
      </c>
      <c r="Y6">
        <f t="shared" si="9"/>
        <v>-21.141879015629303</v>
      </c>
      <c r="Z6">
        <f t="shared" si="9"/>
        <v>-23.893188231476937</v>
      </c>
      <c r="AA6">
        <f t="shared" si="9"/>
        <v>-26.03911806274507</v>
      </c>
      <c r="AB6">
        <f t="shared" si="9"/>
        <v>-27.650433743644573</v>
      </c>
      <c r="AC6">
        <f t="shared" si="9"/>
        <v>-28.773112000416628</v>
      </c>
      <c r="AD6">
        <f t="shared" si="9"/>
        <v>-29.436086365868217</v>
      </c>
      <c r="AE6">
        <f t="shared" si="9"/>
        <v>-29.655367681415374</v>
      </c>
      <c r="AF6">
        <f t="shared" si="9"/>
        <v>-29.436086365868217</v>
      </c>
      <c r="AG6">
        <f t="shared" si="9"/>
        <v>-28.773112000416628</v>
      </c>
      <c r="AH6">
        <f t="shared" si="9"/>
        <v>-27.650433743644573</v>
      </c>
      <c r="AI6">
        <f t="shared" si="9"/>
        <v>-26.03911806274507</v>
      </c>
      <c r="AJ6">
        <f t="shared" si="9"/>
        <v>-23.893188231476937</v>
      </c>
      <c r="AK6">
        <f t="shared" si="9"/>
        <v>-21.141879015629303</v>
      </c>
      <c r="AL6">
        <f t="shared" si="10"/>
        <v>-17.674614733406923</v>
      </c>
      <c r="AM6">
        <f t="shared" si="10"/>
        <v>-13.309128859171874</v>
      </c>
      <c r="AN6">
        <f t="shared" si="10"/>
        <v>-7.712532227418404</v>
      </c>
      <c r="AO6">
        <f t="shared" si="10"/>
        <v>-0.14592243154541862</v>
      </c>
      <c r="AP6">
        <f t="shared" si="10"/>
        <v>12.063423474136005</v>
      </c>
      <c r="AQ6" t="e">
        <f t="shared" si="10"/>
        <v>#N/A</v>
      </c>
      <c r="AR6" t="e">
        <f t="shared" si="10"/>
        <v>#N/A</v>
      </c>
      <c r="AS6" t="e">
        <f t="shared" si="10"/>
        <v>#N/A</v>
      </c>
      <c r="AT6" t="e">
        <f t="shared" si="10"/>
        <v>#N/A</v>
      </c>
      <c r="AU6" t="e">
        <f t="shared" si="10"/>
        <v>#N/A</v>
      </c>
      <c r="AV6" t="e">
        <f t="shared" si="10"/>
        <v>#N/A</v>
      </c>
      <c r="AW6" t="e">
        <f t="shared" si="10"/>
        <v>#N/A</v>
      </c>
      <c r="AX6" t="e">
        <f t="shared" si="10"/>
        <v>#N/A</v>
      </c>
      <c r="AY6" t="e">
        <f t="shared" si="10"/>
        <v>#N/A</v>
      </c>
      <c r="AZ6" t="e">
        <f t="shared" si="10"/>
        <v>#N/A</v>
      </c>
      <c r="BA6" t="e">
        <f t="shared" si="10"/>
        <v>#N/A</v>
      </c>
      <c r="BB6" t="e">
        <f t="shared" si="11"/>
        <v>#N/A</v>
      </c>
      <c r="BC6" t="e">
        <f t="shared" si="11"/>
        <v>#N/A</v>
      </c>
      <c r="BD6" t="e">
        <f t="shared" si="11"/>
        <v>#N/A</v>
      </c>
      <c r="BE6" t="e">
        <f t="shared" si="11"/>
        <v>#N/A</v>
      </c>
    </row>
    <row r="7" spans="1:57" ht="12">
      <c r="A7">
        <f>DESIGN!C78</f>
        <v>37.64586668210466</v>
      </c>
      <c r="B7">
        <f>DESIGN!D78</f>
        <v>40.657536016673035</v>
      </c>
      <c r="C7">
        <f>DESIGN!E78</f>
        <v>78.30340269877769</v>
      </c>
      <c r="D7">
        <f t="shared" si="12"/>
        <v>6131.422874206945</v>
      </c>
      <c r="E7" t="e">
        <f t="shared" si="8"/>
        <v>#N/A</v>
      </c>
      <c r="F7" t="e">
        <f t="shared" si="8"/>
        <v>#N/A</v>
      </c>
      <c r="G7" t="e">
        <f t="shared" si="8"/>
        <v>#N/A</v>
      </c>
      <c r="H7" t="e">
        <f t="shared" si="8"/>
        <v>#N/A</v>
      </c>
      <c r="I7" t="e">
        <f t="shared" si="8"/>
        <v>#N/A</v>
      </c>
      <c r="J7" t="e">
        <f t="shared" si="8"/>
        <v>#N/A</v>
      </c>
      <c r="K7" t="e">
        <f t="shared" si="8"/>
        <v>#N/A</v>
      </c>
      <c r="L7" t="e">
        <f t="shared" si="8"/>
        <v>#N/A</v>
      </c>
      <c r="M7" t="e">
        <f t="shared" si="8"/>
        <v>#N/A</v>
      </c>
      <c r="N7" t="e">
        <f t="shared" si="8"/>
        <v>#N/A</v>
      </c>
      <c r="O7" t="e">
        <f t="shared" si="8"/>
        <v>#N/A</v>
      </c>
      <c r="P7">
        <f t="shared" si="8"/>
        <v>15.142025360966944</v>
      </c>
      <c r="Q7">
        <f t="shared" si="8"/>
        <v>2.554231294067449</v>
      </c>
      <c r="R7">
        <f t="shared" si="8"/>
        <v>-6.016736014103742</v>
      </c>
      <c r="S7">
        <f t="shared" si="8"/>
        <v>-12.667380819989113</v>
      </c>
      <c r="T7">
        <f t="shared" si="8"/>
        <v>-18.08942621393156</v>
      </c>
      <c r="U7">
        <f t="shared" si="8"/>
        <v>-22.61542167291597</v>
      </c>
      <c r="V7">
        <f t="shared" si="9"/>
        <v>-26.435510286613372</v>
      </c>
      <c r="W7">
        <f t="shared" si="9"/>
        <v>-29.669977472202326</v>
      </c>
      <c r="X7">
        <f t="shared" si="9"/>
        <v>-32.39999596664102</v>
      </c>
      <c r="Y7">
        <f t="shared" si="9"/>
        <v>-34.68270909681515</v>
      </c>
      <c r="Z7">
        <f t="shared" si="9"/>
        <v>-36.559408563035056</v>
      </c>
      <c r="AA7">
        <f t="shared" si="9"/>
        <v>-38.06029471977164</v>
      </c>
      <c r="AB7">
        <f t="shared" si="9"/>
        <v>-39.20738877403685</v>
      </c>
      <c r="AC7">
        <f t="shared" si="9"/>
        <v>-40.01636914849029</v>
      </c>
      <c r="AD7">
        <f t="shared" si="9"/>
        <v>-40.49773749768055</v>
      </c>
      <c r="AE7">
        <f t="shared" si="9"/>
        <v>-40.65753601667303</v>
      </c>
      <c r="AF7">
        <f t="shared" si="9"/>
        <v>-40.49773749768055</v>
      </c>
      <c r="AG7">
        <f t="shared" si="9"/>
        <v>-40.01636914849029</v>
      </c>
      <c r="AH7">
        <f t="shared" si="9"/>
        <v>-39.20738877403685</v>
      </c>
      <c r="AI7">
        <f t="shared" si="9"/>
        <v>-38.06029471977164</v>
      </c>
      <c r="AJ7">
        <f t="shared" si="9"/>
        <v>-36.559408563035056</v>
      </c>
      <c r="AK7">
        <f t="shared" si="9"/>
        <v>-34.68270909681515</v>
      </c>
      <c r="AL7">
        <f t="shared" si="10"/>
        <v>-32.39999596664102</v>
      </c>
      <c r="AM7">
        <f t="shared" si="10"/>
        <v>-29.669977472202326</v>
      </c>
      <c r="AN7">
        <f t="shared" si="10"/>
        <v>-26.435510286613372</v>
      </c>
      <c r="AO7">
        <f t="shared" si="10"/>
        <v>-22.61542167291597</v>
      </c>
      <c r="AP7">
        <f t="shared" si="10"/>
        <v>-18.08942621393156</v>
      </c>
      <c r="AQ7">
        <f t="shared" si="10"/>
        <v>-12.667380819989113</v>
      </c>
      <c r="AR7">
        <f t="shared" si="10"/>
        <v>-6.016736014103742</v>
      </c>
      <c r="AS7">
        <f t="shared" si="10"/>
        <v>2.554231294067449</v>
      </c>
      <c r="AT7">
        <f t="shared" si="10"/>
        <v>15.142025360966944</v>
      </c>
      <c r="AU7" t="e">
        <f t="shared" si="10"/>
        <v>#N/A</v>
      </c>
      <c r="AV7" t="e">
        <f t="shared" si="10"/>
        <v>#N/A</v>
      </c>
      <c r="AW7" t="e">
        <f t="shared" si="10"/>
        <v>#N/A</v>
      </c>
      <c r="AX7" t="e">
        <f t="shared" si="10"/>
        <v>#N/A</v>
      </c>
      <c r="AY7" t="e">
        <f t="shared" si="10"/>
        <v>#N/A</v>
      </c>
      <c r="AZ7" t="e">
        <f t="shared" si="10"/>
        <v>#N/A</v>
      </c>
      <c r="BA7" t="e">
        <f t="shared" si="10"/>
        <v>#N/A</v>
      </c>
      <c r="BB7" t="e">
        <f t="shared" si="11"/>
        <v>#N/A</v>
      </c>
      <c r="BC7" t="e">
        <f t="shared" si="11"/>
        <v>#N/A</v>
      </c>
      <c r="BD7" t="e">
        <f t="shared" si="11"/>
        <v>#N/A</v>
      </c>
      <c r="BE7" t="e">
        <f t="shared" si="11"/>
        <v>#N/A</v>
      </c>
    </row>
    <row r="8" spans="1:57" ht="12">
      <c r="A8">
        <f>DESIGN!C79</f>
        <v>45.072506227594225</v>
      </c>
      <c r="B8">
        <f>DESIGN!D79</f>
        <v>48.67830672580176</v>
      </c>
      <c r="C8">
        <f>DESIGN!E79</f>
        <v>93.75081295339598</v>
      </c>
      <c r="D8">
        <f t="shared" si="12"/>
        <v>8789.21492942264</v>
      </c>
      <c r="E8" t="e">
        <f t="shared" si="8"/>
        <v>#N/A</v>
      </c>
      <c r="F8" t="e">
        <f t="shared" si="8"/>
        <v>#N/A</v>
      </c>
      <c r="G8" t="e">
        <f t="shared" si="8"/>
        <v>#N/A</v>
      </c>
      <c r="H8" t="e">
        <f t="shared" si="8"/>
        <v>#N/A</v>
      </c>
      <c r="I8" t="e">
        <f t="shared" si="8"/>
        <v>#N/A</v>
      </c>
      <c r="J8" t="e">
        <f t="shared" si="8"/>
        <v>#N/A</v>
      </c>
      <c r="K8" t="e">
        <f t="shared" si="8"/>
        <v>#N/A</v>
      </c>
      <c r="L8" t="e">
        <f t="shared" si="8"/>
        <v>#N/A</v>
      </c>
      <c r="M8">
        <f t="shared" si="8"/>
        <v>18.819602970570628</v>
      </c>
      <c r="N8">
        <f t="shared" si="8"/>
        <v>5.52234909234835</v>
      </c>
      <c r="O8">
        <f t="shared" si="8"/>
        <v>-3.8070900209698593</v>
      </c>
      <c r="P8">
        <f t="shared" si="8"/>
        <v>-11.178848684288923</v>
      </c>
      <c r="Q8">
        <f t="shared" si="8"/>
        <v>-17.291064303787635</v>
      </c>
      <c r="R8">
        <f t="shared" si="8"/>
        <v>-22.486467487395267</v>
      </c>
      <c r="S8">
        <f t="shared" si="8"/>
        <v>-26.96369945692694</v>
      </c>
      <c r="T8">
        <f t="shared" si="8"/>
        <v>-30.849920824118506</v>
      </c>
      <c r="U8">
        <f t="shared" si="8"/>
        <v>-34.23206444410565</v>
      </c>
      <c r="V8">
        <f t="shared" si="9"/>
        <v>-37.17234120628847</v>
      </c>
      <c r="W8">
        <f t="shared" si="9"/>
        <v>-39.71673206018992</v>
      </c>
      <c r="X8">
        <f t="shared" si="9"/>
        <v>-41.89998901902177</v>
      </c>
      <c r="Y8">
        <f t="shared" si="9"/>
        <v>-43.74874646241596</v>
      </c>
      <c r="Z8">
        <f t="shared" si="9"/>
        <v>-45.283539112065476</v>
      </c>
      <c r="AA8">
        <f t="shared" si="9"/>
        <v>-46.52015138982967</v>
      </c>
      <c r="AB8">
        <f t="shared" si="9"/>
        <v>-47.47053743006078</v>
      </c>
      <c r="AC8">
        <f t="shared" si="9"/>
        <v>-48.143452327916215</v>
      </c>
      <c r="AD8">
        <f t="shared" si="9"/>
        <v>-48.54487960122841</v>
      </c>
      <c r="AE8">
        <f t="shared" si="9"/>
        <v>-48.678306725801754</v>
      </c>
      <c r="AF8">
        <f t="shared" si="9"/>
        <v>-48.54487960122841</v>
      </c>
      <c r="AG8">
        <f t="shared" si="9"/>
        <v>-48.143452327916215</v>
      </c>
      <c r="AH8">
        <f t="shared" si="9"/>
        <v>-47.47053743006078</v>
      </c>
      <c r="AI8">
        <f t="shared" si="9"/>
        <v>-46.52015138982967</v>
      </c>
      <c r="AJ8">
        <f t="shared" si="9"/>
        <v>-45.283539112065476</v>
      </c>
      <c r="AK8">
        <f t="shared" si="9"/>
        <v>-43.74874646241596</v>
      </c>
      <c r="AL8">
        <f t="shared" si="10"/>
        <v>-41.89998901902177</v>
      </c>
      <c r="AM8">
        <f t="shared" si="10"/>
        <v>-39.71673206018992</v>
      </c>
      <c r="AN8">
        <f t="shared" si="10"/>
        <v>-37.17234120628847</v>
      </c>
      <c r="AO8">
        <f t="shared" si="10"/>
        <v>-34.23206444410565</v>
      </c>
      <c r="AP8">
        <f t="shared" si="10"/>
        <v>-30.849920824118506</v>
      </c>
      <c r="AQ8">
        <f t="shared" si="10"/>
        <v>-26.96369945692694</v>
      </c>
      <c r="AR8">
        <f t="shared" si="10"/>
        <v>-22.486467487395267</v>
      </c>
      <c r="AS8">
        <f t="shared" si="10"/>
        <v>-17.291064303787635</v>
      </c>
      <c r="AT8">
        <f t="shared" si="10"/>
        <v>-11.178848684288923</v>
      </c>
      <c r="AU8">
        <f t="shared" si="10"/>
        <v>-3.8070900209698593</v>
      </c>
      <c r="AV8">
        <f t="shared" si="10"/>
        <v>5.52234909234835</v>
      </c>
      <c r="AW8">
        <f t="shared" si="10"/>
        <v>18.819602970570628</v>
      </c>
      <c r="AX8" t="e">
        <f t="shared" si="10"/>
        <v>#N/A</v>
      </c>
      <c r="AY8" t="e">
        <f t="shared" si="10"/>
        <v>#N/A</v>
      </c>
      <c r="AZ8" t="e">
        <f t="shared" si="10"/>
        <v>#N/A</v>
      </c>
      <c r="BA8" t="e">
        <f t="shared" si="10"/>
        <v>#N/A</v>
      </c>
      <c r="BB8" t="e">
        <f t="shared" si="11"/>
        <v>#N/A</v>
      </c>
      <c r="BC8" t="e">
        <f t="shared" si="11"/>
        <v>#N/A</v>
      </c>
      <c r="BD8" t="e">
        <f t="shared" si="11"/>
        <v>#N/A</v>
      </c>
      <c r="BE8" t="e">
        <f t="shared" si="11"/>
        <v>#N/A</v>
      </c>
    </row>
    <row r="9" spans="1:57" ht="12">
      <c r="A9">
        <f>DESIGN!C80</f>
        <v>49.35241818830248</v>
      </c>
      <c r="B9">
        <f>DESIGN!D80</f>
        <v>53.30061164336668</v>
      </c>
      <c r="C9">
        <f>DESIGN!E80</f>
        <v>102.65302983166916</v>
      </c>
      <c r="D9">
        <f t="shared" si="12"/>
        <v>10537.644533621558</v>
      </c>
      <c r="E9" t="e">
        <f t="shared" si="8"/>
        <v>#N/A</v>
      </c>
      <c r="F9" t="e">
        <f t="shared" si="8"/>
        <v>#N/A</v>
      </c>
      <c r="G9" t="e">
        <f t="shared" si="8"/>
        <v>#N/A</v>
      </c>
      <c r="H9" t="e">
        <f t="shared" si="8"/>
        <v>#N/A</v>
      </c>
      <c r="I9" t="e">
        <f t="shared" si="8"/>
        <v>#N/A</v>
      </c>
      <c r="J9" t="e">
        <f t="shared" si="8"/>
        <v>#N/A</v>
      </c>
      <c r="K9">
        <f t="shared" si="8"/>
        <v>26.165255066834636</v>
      </c>
      <c r="L9">
        <f t="shared" si="8"/>
        <v>10.45968707281564</v>
      </c>
      <c r="M9">
        <f t="shared" si="8"/>
        <v>-0.020089684212550196</v>
      </c>
      <c r="N9">
        <f t="shared" si="8"/>
        <v>-8.203159591974895</v>
      </c>
      <c r="O9">
        <f t="shared" si="8"/>
        <v>-14.972106944974314</v>
      </c>
      <c r="P9">
        <f t="shared" si="8"/>
        <v>-20.737841717204773</v>
      </c>
      <c r="Q9">
        <f t="shared" si="8"/>
        <v>-25.73183138257329</v>
      </c>
      <c r="R9">
        <f t="shared" si="8"/>
        <v>-30.099734291171345</v>
      </c>
      <c r="S9">
        <f t="shared" si="8"/>
        <v>-33.94010568762265</v>
      </c>
      <c r="T9">
        <f t="shared" si="8"/>
        <v>-37.32309469521935</v>
      </c>
      <c r="U9">
        <f t="shared" si="8"/>
        <v>-40.30049327374408</v>
      </c>
      <c r="V9">
        <f t="shared" si="9"/>
        <v>-42.91157551249913</v>
      </c>
      <c r="W9">
        <f t="shared" si="9"/>
        <v>-45.186698232476274</v>
      </c>
      <c r="X9">
        <f t="shared" si="9"/>
        <v>-47.14962600570182</v>
      </c>
      <c r="Y9">
        <f t="shared" si="9"/>
        <v>-48.81908752298607</v>
      </c>
      <c r="Z9">
        <f t="shared" si="9"/>
        <v>-50.20984641843273</v>
      </c>
      <c r="AA9">
        <f t="shared" si="9"/>
        <v>-51.33345238757107</v>
      </c>
      <c r="AB9">
        <f t="shared" si="9"/>
        <v>-52.19877350151256</v>
      </c>
      <c r="AC9">
        <f t="shared" si="9"/>
        <v>-52.81237287800157</v>
      </c>
      <c r="AD9">
        <f t="shared" si="9"/>
        <v>-53.178769913765066</v>
      </c>
      <c r="AE9">
        <f t="shared" si="9"/>
        <v>-53.30061164336668</v>
      </c>
      <c r="AF9">
        <f t="shared" si="9"/>
        <v>-53.178769913765066</v>
      </c>
      <c r="AG9">
        <f t="shared" si="9"/>
        <v>-52.81237287800157</v>
      </c>
      <c r="AH9">
        <f t="shared" si="9"/>
        <v>-52.19877350151256</v>
      </c>
      <c r="AI9">
        <f t="shared" si="9"/>
        <v>-51.33345238757107</v>
      </c>
      <c r="AJ9">
        <f t="shared" si="9"/>
        <v>-50.20984641843273</v>
      </c>
      <c r="AK9">
        <f t="shared" si="9"/>
        <v>-48.81908752298607</v>
      </c>
      <c r="AL9">
        <f t="shared" si="10"/>
        <v>-47.14962600570182</v>
      </c>
      <c r="AM9">
        <f t="shared" si="10"/>
        <v>-45.186698232476274</v>
      </c>
      <c r="AN9">
        <f t="shared" si="10"/>
        <v>-42.91157551249913</v>
      </c>
      <c r="AO9">
        <f t="shared" si="10"/>
        <v>-40.30049327374408</v>
      </c>
      <c r="AP9">
        <f t="shared" si="10"/>
        <v>-37.32309469521935</v>
      </c>
      <c r="AQ9">
        <f t="shared" si="10"/>
        <v>-33.94010568762265</v>
      </c>
      <c r="AR9">
        <f t="shared" si="10"/>
        <v>-30.099734291171345</v>
      </c>
      <c r="AS9">
        <f t="shared" si="10"/>
        <v>-25.73183138257329</v>
      </c>
      <c r="AT9">
        <f t="shared" si="10"/>
        <v>-20.737841717204773</v>
      </c>
      <c r="AU9">
        <f t="shared" si="10"/>
        <v>-14.972106944974314</v>
      </c>
      <c r="AV9">
        <f t="shared" si="10"/>
        <v>-8.203159591974895</v>
      </c>
      <c r="AW9">
        <f t="shared" si="10"/>
        <v>-0.020089684212550196</v>
      </c>
      <c r="AX9">
        <f t="shared" si="10"/>
        <v>10.45968707281564</v>
      </c>
      <c r="AY9">
        <f t="shared" si="10"/>
        <v>26.165255066834636</v>
      </c>
      <c r="AZ9" t="e">
        <f t="shared" si="10"/>
        <v>#N/A</v>
      </c>
      <c r="BA9" t="e">
        <f t="shared" si="10"/>
        <v>#N/A</v>
      </c>
      <c r="BB9" t="e">
        <f t="shared" si="11"/>
        <v>#N/A</v>
      </c>
      <c r="BC9" t="e">
        <f t="shared" si="11"/>
        <v>#N/A</v>
      </c>
      <c r="BD9" t="e">
        <f t="shared" si="11"/>
        <v>#N/A</v>
      </c>
      <c r="BE9" t="e">
        <f t="shared" si="11"/>
        <v>#N/A</v>
      </c>
    </row>
    <row r="10" spans="1:57" ht="12">
      <c r="A10">
        <f>DESIGN!C81</f>
        <v>50.000000000000014</v>
      </c>
      <c r="B10">
        <f>DESIGN!D81</f>
        <v>54.00000000000001</v>
      </c>
      <c r="C10">
        <f>DESIGN!E81</f>
        <v>104.00000000000003</v>
      </c>
      <c r="D10">
        <f t="shared" si="12"/>
        <v>10816.000000000005</v>
      </c>
      <c r="E10" t="e">
        <f t="shared" si="8"/>
        <v>#N/A</v>
      </c>
      <c r="F10" t="e">
        <f t="shared" si="8"/>
        <v>#N/A</v>
      </c>
      <c r="G10" t="e">
        <f t="shared" si="8"/>
        <v>#N/A</v>
      </c>
      <c r="H10" t="e">
        <f t="shared" si="8"/>
        <v>#N/A</v>
      </c>
      <c r="I10" t="e">
        <f t="shared" si="8"/>
        <v>#N/A</v>
      </c>
      <c r="J10" t="e">
        <f t="shared" si="8"/>
        <v>#N/A</v>
      </c>
      <c r="K10">
        <f t="shared" si="8"/>
        <v>21.43428628582852</v>
      </c>
      <c r="L10">
        <f t="shared" si="8"/>
        <v>7.679792061002296</v>
      </c>
      <c r="M10">
        <f t="shared" si="8"/>
        <v>-2.115256883181573</v>
      </c>
      <c r="N10">
        <f t="shared" si="8"/>
        <v>-9.924953066314565</v>
      </c>
      <c r="O10">
        <f t="shared" si="8"/>
        <v>-16.452990903344627</v>
      </c>
      <c r="P10">
        <f t="shared" si="8"/>
        <v>-22.04859471218022</v>
      </c>
      <c r="Q10">
        <f t="shared" si="8"/>
        <v>-26.915538092117657</v>
      </c>
      <c r="R10">
        <f t="shared" si="8"/>
        <v>-31.18497397917919</v>
      </c>
      <c r="S10">
        <f t="shared" si="8"/>
        <v>-34.94704232638122</v>
      </c>
      <c r="T10">
        <f t="shared" si="8"/>
        <v>-38.266641490429464</v>
      </c>
      <c r="U10">
        <f t="shared" si="8"/>
        <v>-41.192104921424004</v>
      </c>
      <c r="V10">
        <f t="shared" si="9"/>
        <v>-43.76033276391463</v>
      </c>
      <c r="W10">
        <f t="shared" si="9"/>
        <v>-46.000000000000014</v>
      </c>
      <c r="X10">
        <f t="shared" si="9"/>
        <v>-47.933651009241984</v>
      </c>
      <c r="Y10">
        <f t="shared" si="9"/>
        <v>-49.57911427603683</v>
      </c>
      <c r="Z10">
        <f t="shared" si="9"/>
        <v>-50.9504829111778</v>
      </c>
      <c r="AA10">
        <f t="shared" si="9"/>
        <v>-52.0588065773846</v>
      </c>
      <c r="AB10">
        <f t="shared" si="9"/>
        <v>-52.91258426451064</v>
      </c>
      <c r="AC10">
        <f t="shared" si="9"/>
        <v>-53.51811435686028</v>
      </c>
      <c r="AD10">
        <f t="shared" si="9"/>
        <v>-53.879738159084724</v>
      </c>
      <c r="AE10">
        <f t="shared" si="9"/>
        <v>-54.000000000000014</v>
      </c>
      <c r="AF10">
        <f t="shared" si="9"/>
        <v>-53.879738159084724</v>
      </c>
      <c r="AG10">
        <f t="shared" si="9"/>
        <v>-53.51811435686028</v>
      </c>
      <c r="AH10">
        <f t="shared" si="9"/>
        <v>-52.91258426451064</v>
      </c>
      <c r="AI10">
        <f t="shared" si="9"/>
        <v>-52.0588065773846</v>
      </c>
      <c r="AJ10">
        <f t="shared" si="9"/>
        <v>-50.9504829111778</v>
      </c>
      <c r="AK10">
        <f t="shared" si="9"/>
        <v>-49.57911427603683</v>
      </c>
      <c r="AL10">
        <f t="shared" si="10"/>
        <v>-47.933651009241984</v>
      </c>
      <c r="AM10">
        <f t="shared" si="10"/>
        <v>-46.000000000000014</v>
      </c>
      <c r="AN10">
        <f t="shared" si="10"/>
        <v>-43.76033276391463</v>
      </c>
      <c r="AO10">
        <f t="shared" si="10"/>
        <v>-41.192104921424004</v>
      </c>
      <c r="AP10">
        <f t="shared" si="10"/>
        <v>-38.266641490429464</v>
      </c>
      <c r="AQ10">
        <f t="shared" si="10"/>
        <v>-34.94704232638122</v>
      </c>
      <c r="AR10">
        <f t="shared" si="10"/>
        <v>-31.18497397917919</v>
      </c>
      <c r="AS10">
        <f t="shared" si="10"/>
        <v>-26.915538092117657</v>
      </c>
      <c r="AT10">
        <f t="shared" si="10"/>
        <v>-22.04859471218022</v>
      </c>
      <c r="AU10">
        <f t="shared" si="10"/>
        <v>-16.452990903344627</v>
      </c>
      <c r="AV10">
        <f t="shared" si="10"/>
        <v>-9.924953066314565</v>
      </c>
      <c r="AW10">
        <f t="shared" si="10"/>
        <v>-2.115256883181573</v>
      </c>
      <c r="AX10">
        <f t="shared" si="10"/>
        <v>7.679792061002296</v>
      </c>
      <c r="AY10">
        <f t="shared" si="10"/>
        <v>21.43428628582852</v>
      </c>
      <c r="AZ10" t="e">
        <f t="shared" si="10"/>
        <v>#N/A</v>
      </c>
      <c r="BA10" t="e">
        <f t="shared" si="10"/>
        <v>#N/A</v>
      </c>
      <c r="BB10" t="e">
        <f t="shared" si="11"/>
        <v>#N/A</v>
      </c>
      <c r="BC10" t="e">
        <f t="shared" si="11"/>
        <v>#N/A</v>
      </c>
      <c r="BD10" t="e">
        <f t="shared" si="11"/>
        <v>#N/A</v>
      </c>
      <c r="BE10" t="e">
        <f t="shared" si="11"/>
        <v>#N/A</v>
      </c>
    </row>
    <row r="11" spans="1:57" ht="12">
      <c r="A11">
        <f>DESIGN!C82</f>
        <v>46.390200517419764</v>
      </c>
      <c r="B11">
        <f>DESIGN!D82</f>
        <v>50.10141655881334</v>
      </c>
      <c r="C11">
        <f>DESIGN!E82</f>
        <v>96.4916170762331</v>
      </c>
      <c r="D11">
        <f t="shared" si="12"/>
        <v>9310.632165986399</v>
      </c>
      <c r="E11" t="e">
        <f t="shared" si="8"/>
        <v>#N/A</v>
      </c>
      <c r="F11" t="e">
        <f t="shared" si="8"/>
        <v>#N/A</v>
      </c>
      <c r="G11" t="e">
        <f t="shared" si="8"/>
        <v>#N/A</v>
      </c>
      <c r="H11" t="e">
        <f t="shared" si="8"/>
        <v>#N/A</v>
      </c>
      <c r="I11" t="e">
        <f t="shared" si="8"/>
        <v>#N/A</v>
      </c>
      <c r="J11" t="e">
        <f t="shared" si="8"/>
        <v>#N/A</v>
      </c>
      <c r="K11" t="e">
        <f t="shared" si="8"/>
        <v>#N/A</v>
      </c>
      <c r="L11">
        <f t="shared" si="8"/>
        <v>29.489544731729115</v>
      </c>
      <c r="M11">
        <f t="shared" si="8"/>
        <v>11.596060694938181</v>
      </c>
      <c r="N11">
        <f t="shared" si="8"/>
        <v>0.7214785516541937</v>
      </c>
      <c r="O11">
        <f t="shared" si="8"/>
        <v>-7.5600744215126525</v>
      </c>
      <c r="P11">
        <f t="shared" si="8"/>
        <v>-14.319207040111209</v>
      </c>
      <c r="Q11">
        <f t="shared" si="8"/>
        <v>-20.02238990025932</v>
      </c>
      <c r="R11">
        <f t="shared" si="8"/>
        <v>-24.923417859341903</v>
      </c>
      <c r="S11">
        <f t="shared" si="8"/>
        <v>-29.178524269931252</v>
      </c>
      <c r="T11">
        <f t="shared" si="8"/>
        <v>-32.89177830492296</v>
      </c>
      <c r="U11">
        <f t="shared" si="8"/>
        <v>-36.136353790793045</v>
      </c>
      <c r="V11">
        <f t="shared" si="9"/>
        <v>-38.96571413403482</v>
      </c>
      <c r="W11">
        <f t="shared" si="9"/>
        <v>-41.42000484611642</v>
      </c>
      <c r="X11">
        <f t="shared" si="9"/>
        <v>-43.52994275418762</v>
      </c>
      <c r="Y11">
        <f t="shared" si="9"/>
        <v>-45.319298259895554</v>
      </c>
      <c r="Z11">
        <f t="shared" si="9"/>
        <v>-46.806538513441176</v>
      </c>
      <c r="AA11">
        <f t="shared" si="9"/>
        <v>-48.00594435082366</v>
      </c>
      <c r="AB11">
        <f t="shared" si="9"/>
        <v>-48.92838196252692</v>
      </c>
      <c r="AC11">
        <f t="shared" si="9"/>
        <v>-49.58183794163559</v>
      </c>
      <c r="AD11">
        <f t="shared" si="9"/>
        <v>-49.971784549236055</v>
      </c>
      <c r="AE11">
        <f t="shared" si="9"/>
        <v>-50.101416558813334</v>
      </c>
      <c r="AF11">
        <f t="shared" si="9"/>
        <v>-49.971784549236055</v>
      </c>
      <c r="AG11">
        <f t="shared" si="9"/>
        <v>-49.58183794163559</v>
      </c>
      <c r="AH11">
        <f t="shared" si="9"/>
        <v>-48.92838196252692</v>
      </c>
      <c r="AI11">
        <f t="shared" si="9"/>
        <v>-48.00594435082366</v>
      </c>
      <c r="AJ11">
        <f t="shared" si="9"/>
        <v>-46.806538513441176</v>
      </c>
      <c r="AK11">
        <f t="shared" si="9"/>
        <v>-45.319298259895554</v>
      </c>
      <c r="AL11">
        <f t="shared" si="10"/>
        <v>-43.52994275418762</v>
      </c>
      <c r="AM11">
        <f t="shared" si="10"/>
        <v>-41.42000484611642</v>
      </c>
      <c r="AN11">
        <f t="shared" si="10"/>
        <v>-38.96571413403482</v>
      </c>
      <c r="AO11">
        <f t="shared" si="10"/>
        <v>-36.136353790793045</v>
      </c>
      <c r="AP11">
        <f t="shared" si="10"/>
        <v>-32.89177830492296</v>
      </c>
      <c r="AQ11">
        <f t="shared" si="10"/>
        <v>-29.178524269931252</v>
      </c>
      <c r="AR11">
        <f t="shared" si="10"/>
        <v>-24.923417859341903</v>
      </c>
      <c r="AS11">
        <f t="shared" si="10"/>
        <v>-20.02238990025932</v>
      </c>
      <c r="AT11">
        <f t="shared" si="10"/>
        <v>-14.319207040111209</v>
      </c>
      <c r="AU11">
        <f t="shared" si="10"/>
        <v>-7.5600744215126525</v>
      </c>
      <c r="AV11">
        <f t="shared" si="10"/>
        <v>0.7214785516541937</v>
      </c>
      <c r="AW11">
        <f t="shared" si="10"/>
        <v>11.596060694938181</v>
      </c>
      <c r="AX11">
        <f t="shared" si="10"/>
        <v>29.489544731729115</v>
      </c>
      <c r="AY11" t="e">
        <f t="shared" si="10"/>
        <v>#N/A</v>
      </c>
      <c r="AZ11" t="e">
        <f t="shared" si="10"/>
        <v>#N/A</v>
      </c>
      <c r="BA11" t="e">
        <f t="shared" si="10"/>
        <v>#N/A</v>
      </c>
      <c r="BB11" t="e">
        <f t="shared" si="11"/>
        <v>#N/A</v>
      </c>
      <c r="BC11" t="e">
        <f t="shared" si="11"/>
        <v>#N/A</v>
      </c>
      <c r="BD11" t="e">
        <f t="shared" si="11"/>
        <v>#N/A</v>
      </c>
      <c r="BE11" t="e">
        <f t="shared" si="11"/>
        <v>#N/A</v>
      </c>
    </row>
    <row r="12" spans="1:57" ht="12">
      <c r="A12">
        <f>DESIGN!C83</f>
        <v>37.695048846692686</v>
      </c>
      <c r="B12">
        <f>DESIGN!D83</f>
        <v>40.710652754428104</v>
      </c>
      <c r="C12">
        <f>DESIGN!E83</f>
        <v>78.4057016011208</v>
      </c>
      <c r="D12">
        <f t="shared" si="12"/>
        <v>6147.4540435639965</v>
      </c>
      <c r="E12" t="e">
        <f t="shared" si="8"/>
        <v>#N/A</v>
      </c>
      <c r="F12" t="e">
        <f t="shared" si="8"/>
        <v>#N/A</v>
      </c>
      <c r="G12" t="e">
        <f t="shared" si="8"/>
        <v>#N/A</v>
      </c>
      <c r="H12" t="e">
        <f t="shared" si="8"/>
        <v>#N/A</v>
      </c>
      <c r="I12" t="e">
        <f t="shared" si="8"/>
        <v>#N/A</v>
      </c>
      <c r="J12" t="e">
        <f t="shared" si="8"/>
        <v>#N/A</v>
      </c>
      <c r="K12" t="e">
        <f t="shared" si="8"/>
        <v>#N/A</v>
      </c>
      <c r="L12" t="e">
        <f t="shared" si="8"/>
        <v>#N/A</v>
      </c>
      <c r="M12" t="e">
        <f t="shared" si="8"/>
        <v>#N/A</v>
      </c>
      <c r="N12" t="e">
        <f t="shared" si="8"/>
        <v>#N/A</v>
      </c>
      <c r="O12" t="e">
        <f t="shared" si="8"/>
        <v>#N/A</v>
      </c>
      <c r="P12">
        <f t="shared" si="8"/>
        <v>14.83779521542726</v>
      </c>
      <c r="Q12">
        <f t="shared" si="8"/>
        <v>2.375733400835067</v>
      </c>
      <c r="R12">
        <f t="shared" si="8"/>
        <v>-6.150749624358063</v>
      </c>
      <c r="S12">
        <f t="shared" si="8"/>
        <v>-12.777260824690458</v>
      </c>
      <c r="T12">
        <f t="shared" si="8"/>
        <v>-18.183874224211216</v>
      </c>
      <c r="U12">
        <f t="shared" si="8"/>
        <v>-22.699106860329138</v>
      </c>
      <c r="V12">
        <f t="shared" si="9"/>
        <v>-26.511290743444334</v>
      </c>
      <c r="W12">
        <f t="shared" si="9"/>
        <v>-29.73976444409945</v>
      </c>
      <c r="X12">
        <f t="shared" si="9"/>
        <v>-32.46515385800306</v>
      </c>
      <c r="Y12">
        <f t="shared" si="9"/>
        <v>-34.74426398524959</v>
      </c>
      <c r="Z12">
        <f t="shared" si="9"/>
        <v>-36.61816696021475</v>
      </c>
      <c r="AA12">
        <f t="shared" si="9"/>
        <v>-38.116916195535296</v>
      </c>
      <c r="AB12">
        <f t="shared" si="9"/>
        <v>-39.26243320387857</v>
      </c>
      <c r="AC12">
        <f t="shared" si="9"/>
        <v>-40.07032933385753</v>
      </c>
      <c r="AD12">
        <f t="shared" si="9"/>
        <v>-40.55106315616658</v>
      </c>
      <c r="AE12">
        <f t="shared" si="9"/>
        <v>-40.71065275442811</v>
      </c>
      <c r="AF12">
        <f t="shared" si="9"/>
        <v>-40.55106315616658</v>
      </c>
      <c r="AG12">
        <f t="shared" si="9"/>
        <v>-40.07032933385753</v>
      </c>
      <c r="AH12">
        <f t="shared" si="9"/>
        <v>-39.26243320387857</v>
      </c>
      <c r="AI12">
        <f t="shared" si="9"/>
        <v>-38.116916195535296</v>
      </c>
      <c r="AJ12">
        <f t="shared" si="9"/>
        <v>-36.61816696021475</v>
      </c>
      <c r="AK12">
        <f t="shared" si="9"/>
        <v>-34.74426398524959</v>
      </c>
      <c r="AL12">
        <f t="shared" si="10"/>
        <v>-32.46515385800306</v>
      </c>
      <c r="AM12">
        <f t="shared" si="10"/>
        <v>-29.73976444409945</v>
      </c>
      <c r="AN12">
        <f t="shared" si="10"/>
        <v>-26.511290743444334</v>
      </c>
      <c r="AO12">
        <f t="shared" si="10"/>
        <v>-22.699106860329138</v>
      </c>
      <c r="AP12">
        <f t="shared" si="10"/>
        <v>-18.183874224211216</v>
      </c>
      <c r="AQ12">
        <f t="shared" si="10"/>
        <v>-12.777260824690458</v>
      </c>
      <c r="AR12">
        <f t="shared" si="10"/>
        <v>-6.150749624358063</v>
      </c>
      <c r="AS12">
        <f t="shared" si="10"/>
        <v>2.375733400835067</v>
      </c>
      <c r="AT12">
        <f t="shared" si="10"/>
        <v>14.83779521542726</v>
      </c>
      <c r="AU12" t="e">
        <f t="shared" si="10"/>
        <v>#N/A</v>
      </c>
      <c r="AV12" t="e">
        <f t="shared" si="10"/>
        <v>#N/A</v>
      </c>
      <c r="AW12" t="e">
        <f t="shared" si="10"/>
        <v>#N/A</v>
      </c>
      <c r="AX12" t="e">
        <f t="shared" si="10"/>
        <v>#N/A</v>
      </c>
      <c r="AY12" t="e">
        <f t="shared" si="10"/>
        <v>#N/A</v>
      </c>
      <c r="AZ12" t="e">
        <f t="shared" si="10"/>
        <v>#N/A</v>
      </c>
      <c r="BA12" t="e">
        <f t="shared" si="10"/>
        <v>#N/A</v>
      </c>
      <c r="BB12" t="e">
        <f t="shared" si="11"/>
        <v>#N/A</v>
      </c>
      <c r="BC12" t="e">
        <f t="shared" si="11"/>
        <v>#N/A</v>
      </c>
      <c r="BD12" t="e">
        <f t="shared" si="11"/>
        <v>#N/A</v>
      </c>
      <c r="BE12" t="e">
        <f t="shared" si="11"/>
        <v>#N/A</v>
      </c>
    </row>
    <row r="13" spans="1:57" ht="12">
      <c r="A13">
        <f>DESIGN!C84</f>
        <v>22.77736902892438</v>
      </c>
      <c r="B13">
        <f>DESIGN!D84</f>
        <v>24.59955855123833</v>
      </c>
      <c r="C13">
        <f>DESIGN!E84</f>
        <v>47.376927580162715</v>
      </c>
      <c r="D13">
        <f t="shared" si="12"/>
        <v>2244.5732669359827</v>
      </c>
      <c r="E13" t="e">
        <f t="shared" si="8"/>
        <v>#N/A</v>
      </c>
      <c r="F13" t="e">
        <f t="shared" si="8"/>
        <v>#N/A</v>
      </c>
      <c r="G13" t="e">
        <f t="shared" si="8"/>
        <v>#N/A</v>
      </c>
      <c r="H13" t="e">
        <f t="shared" si="8"/>
        <v>#N/A</v>
      </c>
      <c r="I13" t="e">
        <f t="shared" si="8"/>
        <v>#N/A</v>
      </c>
      <c r="J13" t="e">
        <f t="shared" si="8"/>
        <v>#N/A</v>
      </c>
      <c r="K13" t="e">
        <f t="shared" si="8"/>
        <v>#N/A</v>
      </c>
      <c r="L13" t="e">
        <f t="shared" si="8"/>
        <v>#N/A</v>
      </c>
      <c r="M13" t="e">
        <f t="shared" si="8"/>
        <v>#N/A</v>
      </c>
      <c r="N13" t="e">
        <f t="shared" si="8"/>
        <v>#N/A</v>
      </c>
      <c r="O13" t="e">
        <f t="shared" si="8"/>
        <v>#N/A</v>
      </c>
      <c r="P13" t="e">
        <f t="shared" si="8"/>
        <v>#N/A</v>
      </c>
      <c r="Q13" t="e">
        <f t="shared" si="8"/>
        <v>#N/A</v>
      </c>
      <c r="R13" t="e">
        <f t="shared" si="8"/>
        <v>#N/A</v>
      </c>
      <c r="S13" t="e">
        <f t="shared" si="8"/>
        <v>#N/A</v>
      </c>
      <c r="T13" t="e">
        <f t="shared" si="8"/>
        <v>#N/A</v>
      </c>
      <c r="U13" t="e">
        <f t="shared" si="8"/>
        <v>#N/A</v>
      </c>
      <c r="V13">
        <f t="shared" si="9"/>
        <v>7.9593642058727045</v>
      </c>
      <c r="W13">
        <f t="shared" si="9"/>
        <v>-2.6110784804445757</v>
      </c>
      <c r="X13">
        <f t="shared" si="9"/>
        <v>-9.153388352258776</v>
      </c>
      <c r="Y13">
        <f t="shared" si="9"/>
        <v>-13.891054266003135</v>
      </c>
      <c r="Z13">
        <f t="shared" si="9"/>
        <v>-17.466553082817942</v>
      </c>
      <c r="AA13">
        <f t="shared" si="9"/>
        <v>-20.171126485307344</v>
      </c>
      <c r="AB13">
        <f t="shared" si="9"/>
        <v>-22.16229348578508</v>
      </c>
      <c r="AC13">
        <f t="shared" si="9"/>
        <v>-23.532168508563327</v>
      </c>
      <c r="AD13">
        <f t="shared" si="9"/>
        <v>-24.33497825855412</v>
      </c>
      <c r="AE13">
        <f t="shared" si="9"/>
        <v>-24.599558551238335</v>
      </c>
      <c r="AF13">
        <f t="shared" si="9"/>
        <v>-24.33497825855412</v>
      </c>
      <c r="AG13">
        <f t="shared" si="9"/>
        <v>-23.532168508563327</v>
      </c>
      <c r="AH13">
        <f t="shared" si="9"/>
        <v>-22.16229348578508</v>
      </c>
      <c r="AI13">
        <f t="shared" si="9"/>
        <v>-20.171126485307344</v>
      </c>
      <c r="AJ13">
        <f t="shared" si="9"/>
        <v>-17.466553082817942</v>
      </c>
      <c r="AK13">
        <f t="shared" si="9"/>
        <v>-13.891054266003135</v>
      </c>
      <c r="AL13">
        <f t="shared" si="10"/>
        <v>-9.153388352258776</v>
      </c>
      <c r="AM13">
        <f t="shared" si="10"/>
        <v>-2.6110784804445757</v>
      </c>
      <c r="AN13">
        <f t="shared" si="10"/>
        <v>7.9593642058727045</v>
      </c>
      <c r="AO13" t="e">
        <f t="shared" si="10"/>
        <v>#N/A</v>
      </c>
      <c r="AP13" t="e">
        <f t="shared" si="10"/>
        <v>#N/A</v>
      </c>
      <c r="AQ13" t="e">
        <f t="shared" si="10"/>
        <v>#N/A</v>
      </c>
      <c r="AR13" t="e">
        <f t="shared" si="10"/>
        <v>#N/A</v>
      </c>
      <c r="AS13" t="e">
        <f t="shared" si="10"/>
        <v>#N/A</v>
      </c>
      <c r="AT13" t="e">
        <f t="shared" si="10"/>
        <v>#N/A</v>
      </c>
      <c r="AU13" t="e">
        <f t="shared" si="10"/>
        <v>#N/A</v>
      </c>
      <c r="AV13" t="e">
        <f t="shared" si="10"/>
        <v>#N/A</v>
      </c>
      <c r="AW13" t="e">
        <f t="shared" si="10"/>
        <v>#N/A</v>
      </c>
      <c r="AX13" t="e">
        <f t="shared" si="10"/>
        <v>#N/A</v>
      </c>
      <c r="AY13" t="e">
        <f t="shared" si="10"/>
        <v>#N/A</v>
      </c>
      <c r="AZ13" t="e">
        <f t="shared" si="10"/>
        <v>#N/A</v>
      </c>
      <c r="BA13" t="e">
        <f t="shared" si="10"/>
        <v>#N/A</v>
      </c>
      <c r="BB13" t="e">
        <f t="shared" si="11"/>
        <v>#N/A</v>
      </c>
      <c r="BC13" t="e">
        <f t="shared" si="11"/>
        <v>#N/A</v>
      </c>
      <c r="BD13" t="e">
        <f t="shared" si="11"/>
        <v>#N/A</v>
      </c>
      <c r="BE13" t="e">
        <f t="shared" si="11"/>
        <v>#N/A</v>
      </c>
    </row>
    <row r="14" spans="1:57" ht="12">
      <c r="A14">
        <f>DESIGN!C85</f>
        <v>0</v>
      </c>
      <c r="B14">
        <f>DESIGN!D85</f>
        <v>0</v>
      </c>
      <c r="C14">
        <f>DESIGN!E85</f>
        <v>0</v>
      </c>
      <c r="D14">
        <f t="shared" si="12"/>
        <v>0</v>
      </c>
      <c r="E14" t="e">
        <f t="shared" si="8"/>
        <v>#N/A</v>
      </c>
      <c r="F14" t="e">
        <f t="shared" si="8"/>
        <v>#N/A</v>
      </c>
      <c r="G14" t="e">
        <f t="shared" si="8"/>
        <v>#N/A</v>
      </c>
      <c r="H14" t="e">
        <f t="shared" si="8"/>
        <v>#N/A</v>
      </c>
      <c r="I14" t="e">
        <f t="shared" si="8"/>
        <v>#N/A</v>
      </c>
      <c r="J14" t="e">
        <f t="shared" si="8"/>
        <v>#N/A</v>
      </c>
      <c r="K14" t="e">
        <f aca="true" t="shared" si="13" ref="K14:Z14">-(IF($D14&gt;K$3,SQRT($D14-K$3),NA())-$A14)</f>
        <v>#N/A</v>
      </c>
      <c r="L14" t="e">
        <f t="shared" si="13"/>
        <v>#N/A</v>
      </c>
      <c r="M14" t="e">
        <f t="shared" si="13"/>
        <v>#N/A</v>
      </c>
      <c r="N14" t="e">
        <f t="shared" si="13"/>
        <v>#N/A</v>
      </c>
      <c r="O14" t="e">
        <f t="shared" si="13"/>
        <v>#N/A</v>
      </c>
      <c r="P14" t="e">
        <f t="shared" si="13"/>
        <v>#N/A</v>
      </c>
      <c r="Q14" t="e">
        <f t="shared" si="13"/>
        <v>#N/A</v>
      </c>
      <c r="R14" t="e">
        <f t="shared" si="13"/>
        <v>#N/A</v>
      </c>
      <c r="S14" t="e">
        <f t="shared" si="13"/>
        <v>#N/A</v>
      </c>
      <c r="T14" t="e">
        <f t="shared" si="13"/>
        <v>#N/A</v>
      </c>
      <c r="U14" t="e">
        <f t="shared" si="13"/>
        <v>#N/A</v>
      </c>
      <c r="V14" t="e">
        <f t="shared" si="13"/>
        <v>#N/A</v>
      </c>
      <c r="W14" t="e">
        <f t="shared" si="13"/>
        <v>#N/A</v>
      </c>
      <c r="X14" t="e">
        <f t="shared" si="13"/>
        <v>#N/A</v>
      </c>
      <c r="Y14" t="e">
        <f t="shared" si="13"/>
        <v>#N/A</v>
      </c>
      <c r="Z14" t="e">
        <f t="shared" si="13"/>
        <v>#N/A</v>
      </c>
      <c r="AA14" t="e">
        <f t="shared" si="9"/>
        <v>#N/A</v>
      </c>
      <c r="AB14" t="e">
        <f t="shared" si="9"/>
        <v>#N/A</v>
      </c>
      <c r="AC14" t="e">
        <f t="shared" si="9"/>
        <v>#N/A</v>
      </c>
      <c r="AD14" t="e">
        <f t="shared" si="9"/>
        <v>#N/A</v>
      </c>
      <c r="AE14" t="e">
        <f t="shared" si="9"/>
        <v>#N/A</v>
      </c>
      <c r="AF14" t="e">
        <f t="shared" si="9"/>
        <v>#N/A</v>
      </c>
      <c r="AG14" t="e">
        <f t="shared" si="9"/>
        <v>#N/A</v>
      </c>
      <c r="AH14" t="e">
        <f t="shared" si="9"/>
        <v>#N/A</v>
      </c>
      <c r="AI14" t="e">
        <f t="shared" si="9"/>
        <v>#N/A</v>
      </c>
      <c r="AJ14" t="e">
        <f t="shared" si="9"/>
        <v>#N/A</v>
      </c>
      <c r="AK14" t="e">
        <f t="shared" si="9"/>
        <v>#N/A</v>
      </c>
      <c r="AL14" t="e">
        <f t="shared" si="10"/>
        <v>#N/A</v>
      </c>
      <c r="AM14" t="e">
        <f t="shared" si="10"/>
        <v>#N/A</v>
      </c>
      <c r="AN14" t="e">
        <f t="shared" si="10"/>
        <v>#N/A</v>
      </c>
      <c r="AO14" t="e">
        <f t="shared" si="10"/>
        <v>#N/A</v>
      </c>
      <c r="AP14" t="e">
        <f t="shared" si="10"/>
        <v>#N/A</v>
      </c>
      <c r="AQ14" t="e">
        <f t="shared" si="10"/>
        <v>#N/A</v>
      </c>
      <c r="AR14" t="e">
        <f t="shared" si="10"/>
        <v>#N/A</v>
      </c>
      <c r="AS14" t="e">
        <f t="shared" si="10"/>
        <v>#N/A</v>
      </c>
      <c r="AT14" t="e">
        <f t="shared" si="10"/>
        <v>#N/A</v>
      </c>
      <c r="AU14" t="e">
        <f t="shared" si="10"/>
        <v>#N/A</v>
      </c>
      <c r="AV14" t="e">
        <f t="shared" si="10"/>
        <v>#N/A</v>
      </c>
      <c r="AW14" t="e">
        <f t="shared" si="10"/>
        <v>#N/A</v>
      </c>
      <c r="AX14" t="e">
        <f t="shared" si="10"/>
        <v>#N/A</v>
      </c>
      <c r="AY14" t="e">
        <f t="shared" si="10"/>
        <v>#N/A</v>
      </c>
      <c r="AZ14" t="e">
        <f t="shared" si="10"/>
        <v>#N/A</v>
      </c>
      <c r="BA14" t="e">
        <f t="shared" si="10"/>
        <v>#N/A</v>
      </c>
      <c r="BB14" t="e">
        <f t="shared" si="11"/>
        <v>#N/A</v>
      </c>
      <c r="BC14" t="e">
        <f t="shared" si="11"/>
        <v>#N/A</v>
      </c>
      <c r="BD14" t="e">
        <f t="shared" si="11"/>
        <v>#N/A</v>
      </c>
      <c r="BE14" t="e">
        <f t="shared" si="11"/>
        <v>#N/A</v>
      </c>
    </row>
    <row r="17" spans="3:57" ht="12">
      <c r="C17" t="e">
        <f>NA()</f>
        <v>#N/A</v>
      </c>
      <c r="E17" t="e">
        <f>NA()</f>
        <v>#N/A</v>
      </c>
      <c r="F17" t="e">
        <f>NA()</f>
        <v>#N/A</v>
      </c>
      <c r="G17" t="e">
        <f>NA()</f>
        <v>#N/A</v>
      </c>
      <c r="H17" t="e">
        <f>NA()</f>
        <v>#N/A</v>
      </c>
      <c r="I17" t="e">
        <f>NA()</f>
        <v>#N/A</v>
      </c>
      <c r="J17" t="e">
        <f>NA()</f>
        <v>#N/A</v>
      </c>
      <c r="K17" t="e">
        <f>NA()</f>
        <v>#N/A</v>
      </c>
      <c r="L17" t="e">
        <f>NA()</f>
        <v>#N/A</v>
      </c>
      <c r="M17" t="e">
        <f>NA()</f>
        <v>#N/A</v>
      </c>
      <c r="N17" t="e">
        <f>NA()</f>
        <v>#N/A</v>
      </c>
      <c r="O17" t="e">
        <f>NA()</f>
        <v>#N/A</v>
      </c>
      <c r="P17" t="e">
        <f>NA()</f>
        <v>#N/A</v>
      </c>
      <c r="Q17" t="e">
        <f>NA()</f>
        <v>#N/A</v>
      </c>
      <c r="R17" t="e">
        <f>NA()</f>
        <v>#N/A</v>
      </c>
      <c r="S17" t="e">
        <f>NA()</f>
        <v>#N/A</v>
      </c>
      <c r="T17" t="e">
        <f>NA()</f>
        <v>#N/A</v>
      </c>
      <c r="U17" t="e">
        <f>NA()</f>
        <v>#N/A</v>
      </c>
      <c r="V17" t="e">
        <f>NA()</f>
        <v>#N/A</v>
      </c>
      <c r="W17" t="e">
        <f>NA()</f>
        <v>#N/A</v>
      </c>
      <c r="X17" t="e">
        <f>NA()</f>
        <v>#N/A</v>
      </c>
      <c r="Y17" t="e">
        <f>NA()</f>
        <v>#N/A</v>
      </c>
      <c r="Z17" t="e">
        <f>NA()</f>
        <v>#N/A</v>
      </c>
      <c r="AA17" t="e">
        <f>NA()</f>
        <v>#N/A</v>
      </c>
      <c r="AB17" t="e">
        <f>NA()</f>
        <v>#N/A</v>
      </c>
      <c r="AC17" t="e">
        <f>NA()</f>
        <v>#N/A</v>
      </c>
      <c r="AD17" t="e">
        <f>NA()</f>
        <v>#N/A</v>
      </c>
      <c r="AE17">
        <v>0</v>
      </c>
      <c r="AF17">
        <f>$C$1</f>
        <v>60</v>
      </c>
      <c r="AG17" t="e">
        <f aca="true" t="shared" si="14" ref="AG17:AV22">IF(ISNA(AG4),IF(ISNA(AF4),NA(),IF(AF4&lt;$C$1,$C$1,NA())),IF(AG4&lt;$C$1,AG4,NA()))</f>
        <v>#N/A</v>
      </c>
      <c r="AH17" t="e">
        <f t="shared" si="14"/>
        <v>#N/A</v>
      </c>
      <c r="AI17" t="e">
        <f t="shared" si="14"/>
        <v>#N/A</v>
      </c>
      <c r="AJ17" t="e">
        <f t="shared" si="14"/>
        <v>#N/A</v>
      </c>
      <c r="AK17" t="e">
        <f t="shared" si="14"/>
        <v>#N/A</v>
      </c>
      <c r="AL17" t="e">
        <f t="shared" si="14"/>
        <v>#N/A</v>
      </c>
      <c r="AM17" t="e">
        <f t="shared" si="14"/>
        <v>#N/A</v>
      </c>
      <c r="AN17" t="e">
        <f t="shared" si="14"/>
        <v>#N/A</v>
      </c>
      <c r="AO17" t="e">
        <f t="shared" si="14"/>
        <v>#N/A</v>
      </c>
      <c r="AP17" t="e">
        <f t="shared" si="14"/>
        <v>#N/A</v>
      </c>
      <c r="AQ17" t="e">
        <f t="shared" si="14"/>
        <v>#N/A</v>
      </c>
      <c r="AR17" t="e">
        <f t="shared" si="14"/>
        <v>#N/A</v>
      </c>
      <c r="AS17" t="e">
        <f t="shared" si="14"/>
        <v>#N/A</v>
      </c>
      <c r="AT17" t="e">
        <f t="shared" si="14"/>
        <v>#N/A</v>
      </c>
      <c r="AU17" t="e">
        <f t="shared" si="14"/>
        <v>#N/A</v>
      </c>
      <c r="AV17" t="e">
        <f t="shared" si="14"/>
        <v>#N/A</v>
      </c>
      <c r="AW17" t="e">
        <f aca="true" t="shared" si="15" ref="AW17:BE22">IF(ISNA(AW4),IF(ISNA(AV4),NA(),IF(AV4&lt;$C$1,$C$1,NA())),IF(AW4&lt;$C$1,AW4,NA()))</f>
        <v>#N/A</v>
      </c>
      <c r="AX17" t="e">
        <f t="shared" si="15"/>
        <v>#N/A</v>
      </c>
      <c r="AY17" t="e">
        <f t="shared" si="15"/>
        <v>#N/A</v>
      </c>
      <c r="AZ17" t="e">
        <f t="shared" si="15"/>
        <v>#N/A</v>
      </c>
      <c r="BA17" t="e">
        <f t="shared" si="15"/>
        <v>#N/A</v>
      </c>
      <c r="BB17" t="e">
        <f t="shared" si="15"/>
        <v>#N/A</v>
      </c>
      <c r="BC17" t="e">
        <f t="shared" si="15"/>
        <v>#N/A</v>
      </c>
      <c r="BD17" t="e">
        <f t="shared" si="15"/>
        <v>#N/A</v>
      </c>
      <c r="BE17" t="e">
        <f t="shared" si="15"/>
        <v>#N/A</v>
      </c>
    </row>
    <row r="18" spans="5:57" ht="12">
      <c r="E18" t="e">
        <f>NA()</f>
        <v>#N/A</v>
      </c>
      <c r="F18" t="e">
        <f>NA()</f>
        <v>#N/A</v>
      </c>
      <c r="G18" t="e">
        <f>NA()</f>
        <v>#N/A</v>
      </c>
      <c r="H18" t="e">
        <f>NA()</f>
        <v>#N/A</v>
      </c>
      <c r="I18" t="e">
        <f>NA()</f>
        <v>#N/A</v>
      </c>
      <c r="J18" t="e">
        <f>NA()</f>
        <v>#N/A</v>
      </c>
      <c r="K18" t="e">
        <f>NA()</f>
        <v>#N/A</v>
      </c>
      <c r="L18" t="e">
        <f>NA()</f>
        <v>#N/A</v>
      </c>
      <c r="M18" t="e">
        <f>NA()</f>
        <v>#N/A</v>
      </c>
      <c r="N18" t="e">
        <f>NA()</f>
        <v>#N/A</v>
      </c>
      <c r="O18" t="e">
        <f>NA()</f>
        <v>#N/A</v>
      </c>
      <c r="P18" t="e">
        <f>NA()</f>
        <v>#N/A</v>
      </c>
      <c r="Q18" t="e">
        <f>NA()</f>
        <v>#N/A</v>
      </c>
      <c r="R18" t="e">
        <f>NA()</f>
        <v>#N/A</v>
      </c>
      <c r="S18" t="e">
        <f>NA()</f>
        <v>#N/A</v>
      </c>
      <c r="T18" t="e">
        <f>NA()</f>
        <v>#N/A</v>
      </c>
      <c r="U18" t="e">
        <f>NA()</f>
        <v>#N/A</v>
      </c>
      <c r="V18" t="e">
        <f>NA()</f>
        <v>#N/A</v>
      </c>
      <c r="W18" t="e">
        <f>NA()</f>
        <v>#N/A</v>
      </c>
      <c r="X18" t="e">
        <f>NA()</f>
        <v>#N/A</v>
      </c>
      <c r="Y18" t="e">
        <f>NA()</f>
        <v>#N/A</v>
      </c>
      <c r="Z18" t="e">
        <f>NA()</f>
        <v>#N/A</v>
      </c>
      <c r="AA18" t="e">
        <f>NA()</f>
        <v>#N/A</v>
      </c>
      <c r="AB18" t="e">
        <f>NA()</f>
        <v>#N/A</v>
      </c>
      <c r="AC18" t="e">
        <f>NA()</f>
        <v>#N/A</v>
      </c>
      <c r="AD18" t="e">
        <f>NA()</f>
        <v>#N/A</v>
      </c>
      <c r="AE18">
        <f aca="true" t="shared" si="16" ref="V18:AE27">IF(ISNA(AE5),IF(ISNA(AF5),NA(),IF(AF5&lt;$C$1,$C$1,NA())),IF(AE5&lt;$C$1,AE5,NA()))</f>
        <v>-16.009958985248936</v>
      </c>
      <c r="AF18">
        <f>IF(ISNA(AF5),IF(ISNA(AE5),NA(),IF(AE5&lt;$C$1,$C$1,NA())),IF(AF5&lt;$C$1,AF5,NA()))</f>
        <v>-15.601861633921944</v>
      </c>
      <c r="AG18">
        <f t="shared" si="14"/>
        <v>-14.343330131949445</v>
      </c>
      <c r="AH18">
        <f t="shared" si="14"/>
        <v>-12.11543777937104</v>
      </c>
      <c r="AI18">
        <f t="shared" si="14"/>
        <v>-8.643713107787859</v>
      </c>
      <c r="AJ18">
        <f t="shared" si="14"/>
        <v>-3.2241010019841543</v>
      </c>
      <c r="AK18">
        <f t="shared" si="14"/>
        <v>7.7011678015996</v>
      </c>
      <c r="AL18">
        <f t="shared" si="14"/>
        <v>60</v>
      </c>
      <c r="AM18" t="e">
        <f t="shared" si="14"/>
        <v>#N/A</v>
      </c>
      <c r="AN18" t="e">
        <f t="shared" si="14"/>
        <v>#N/A</v>
      </c>
      <c r="AO18" t="e">
        <f t="shared" si="14"/>
        <v>#N/A</v>
      </c>
      <c r="AP18" t="e">
        <f t="shared" si="14"/>
        <v>#N/A</v>
      </c>
      <c r="AQ18" t="e">
        <f t="shared" si="14"/>
        <v>#N/A</v>
      </c>
      <c r="AR18" t="e">
        <f t="shared" si="14"/>
        <v>#N/A</v>
      </c>
      <c r="AS18" t="e">
        <f t="shared" si="14"/>
        <v>#N/A</v>
      </c>
      <c r="AT18" t="e">
        <f t="shared" si="14"/>
        <v>#N/A</v>
      </c>
      <c r="AU18" t="e">
        <f t="shared" si="14"/>
        <v>#N/A</v>
      </c>
      <c r="AV18" t="e">
        <f t="shared" si="14"/>
        <v>#N/A</v>
      </c>
      <c r="AW18" t="e">
        <f t="shared" si="15"/>
        <v>#N/A</v>
      </c>
      <c r="AX18" t="e">
        <f t="shared" si="15"/>
        <v>#N/A</v>
      </c>
      <c r="AY18" t="e">
        <f t="shared" si="15"/>
        <v>#N/A</v>
      </c>
      <c r="AZ18" t="e">
        <f t="shared" si="15"/>
        <v>#N/A</v>
      </c>
      <c r="BA18" t="e">
        <f t="shared" si="15"/>
        <v>#N/A</v>
      </c>
      <c r="BB18" t="e">
        <f t="shared" si="15"/>
        <v>#N/A</v>
      </c>
      <c r="BC18" t="e">
        <f t="shared" si="15"/>
        <v>#N/A</v>
      </c>
      <c r="BD18" t="e">
        <f t="shared" si="15"/>
        <v>#N/A</v>
      </c>
      <c r="BE18" t="e">
        <f t="shared" si="15"/>
        <v>#N/A</v>
      </c>
    </row>
    <row r="19" spans="5:57" ht="12">
      <c r="E19" t="e">
        <f>NA()</f>
        <v>#N/A</v>
      </c>
      <c r="F19" t="e">
        <f>NA()</f>
        <v>#N/A</v>
      </c>
      <c r="G19" t="e">
        <f>NA()</f>
        <v>#N/A</v>
      </c>
      <c r="H19" t="e">
        <f>NA()</f>
        <v>#N/A</v>
      </c>
      <c r="I19" t="e">
        <f>NA()</f>
        <v>#N/A</v>
      </c>
      <c r="J19" t="e">
        <f>NA()</f>
        <v>#N/A</v>
      </c>
      <c r="K19" t="e">
        <f>NA()</f>
        <v>#N/A</v>
      </c>
      <c r="L19" t="e">
        <f>NA()</f>
        <v>#N/A</v>
      </c>
      <c r="M19" t="e">
        <f>NA()</f>
        <v>#N/A</v>
      </c>
      <c r="N19" t="e">
        <f>NA()</f>
        <v>#N/A</v>
      </c>
      <c r="O19" t="e">
        <f>NA()</f>
        <v>#N/A</v>
      </c>
      <c r="P19" t="e">
        <f>NA()</f>
        <v>#N/A</v>
      </c>
      <c r="Q19" t="e">
        <f>NA()</f>
        <v>#N/A</v>
      </c>
      <c r="R19" t="e">
        <f>NA()</f>
        <v>#N/A</v>
      </c>
      <c r="S19" t="e">
        <f>NA()</f>
        <v>#N/A</v>
      </c>
      <c r="T19" t="e">
        <f>NA()</f>
        <v>#N/A</v>
      </c>
      <c r="U19" t="e">
        <f>NA()</f>
        <v>#N/A</v>
      </c>
      <c r="V19" t="e">
        <f>NA()</f>
        <v>#N/A</v>
      </c>
      <c r="W19" t="e">
        <f>NA()</f>
        <v>#N/A</v>
      </c>
      <c r="X19" t="e">
        <f>NA()</f>
        <v>#N/A</v>
      </c>
      <c r="Y19" t="e">
        <f>NA()</f>
        <v>#N/A</v>
      </c>
      <c r="Z19" t="e">
        <f>NA()</f>
        <v>#N/A</v>
      </c>
      <c r="AA19" t="e">
        <f>NA()</f>
        <v>#N/A</v>
      </c>
      <c r="AB19" t="e">
        <f>NA()</f>
        <v>#N/A</v>
      </c>
      <c r="AC19" t="e">
        <f>NA()</f>
        <v>#N/A</v>
      </c>
      <c r="AD19" t="e">
        <f>NA()</f>
        <v>#N/A</v>
      </c>
      <c r="AE19">
        <f t="shared" si="16"/>
        <v>-29.655367681415374</v>
      </c>
      <c r="AF19">
        <f>IF(ISNA(AF6),IF(ISNA(AE6),NA(),IF(AE6&lt;$C$1,$C$1,NA())),IF(AF6&lt;$C$1,AF6,NA()))</f>
        <v>-29.436086365868217</v>
      </c>
      <c r="AG19">
        <f t="shared" si="14"/>
        <v>-28.773112000416628</v>
      </c>
      <c r="AH19">
        <f t="shared" si="14"/>
        <v>-27.650433743644573</v>
      </c>
      <c r="AI19">
        <f t="shared" si="14"/>
        <v>-26.03911806274507</v>
      </c>
      <c r="AJ19">
        <f t="shared" si="14"/>
        <v>-23.893188231476937</v>
      </c>
      <c r="AK19">
        <f t="shared" si="14"/>
        <v>-21.141879015629303</v>
      </c>
      <c r="AL19">
        <f t="shared" si="14"/>
        <v>-17.674614733406923</v>
      </c>
      <c r="AM19">
        <f t="shared" si="14"/>
        <v>-13.309128859171874</v>
      </c>
      <c r="AN19">
        <f t="shared" si="14"/>
        <v>-7.712532227418404</v>
      </c>
      <c r="AO19">
        <f t="shared" si="14"/>
        <v>-0.14592243154541862</v>
      </c>
      <c r="AP19">
        <f t="shared" si="14"/>
        <v>12.063423474136005</v>
      </c>
      <c r="AQ19">
        <f t="shared" si="14"/>
        <v>60</v>
      </c>
      <c r="AR19" t="e">
        <f t="shared" si="14"/>
        <v>#N/A</v>
      </c>
      <c r="AS19" t="e">
        <f t="shared" si="14"/>
        <v>#N/A</v>
      </c>
      <c r="AT19" t="e">
        <f t="shared" si="14"/>
        <v>#N/A</v>
      </c>
      <c r="AU19" t="e">
        <f t="shared" si="14"/>
        <v>#N/A</v>
      </c>
      <c r="AV19" t="e">
        <f t="shared" si="14"/>
        <v>#N/A</v>
      </c>
      <c r="AW19" t="e">
        <f t="shared" si="15"/>
        <v>#N/A</v>
      </c>
      <c r="AX19" t="e">
        <f t="shared" si="15"/>
        <v>#N/A</v>
      </c>
      <c r="AY19" t="e">
        <f t="shared" si="15"/>
        <v>#N/A</v>
      </c>
      <c r="AZ19" t="e">
        <f t="shared" si="15"/>
        <v>#N/A</v>
      </c>
      <c r="BA19" t="e">
        <f t="shared" si="15"/>
        <v>#N/A</v>
      </c>
      <c r="BB19" t="e">
        <f t="shared" si="15"/>
        <v>#N/A</v>
      </c>
      <c r="BC19" t="e">
        <f t="shared" si="15"/>
        <v>#N/A</v>
      </c>
      <c r="BD19" t="e">
        <f t="shared" si="15"/>
        <v>#N/A</v>
      </c>
      <c r="BE19" t="e">
        <f t="shared" si="15"/>
        <v>#N/A</v>
      </c>
    </row>
    <row r="20" spans="5:57" ht="12">
      <c r="E20" t="e">
        <f>NA()</f>
        <v>#N/A</v>
      </c>
      <c r="F20" t="e">
        <f>NA()</f>
        <v>#N/A</v>
      </c>
      <c r="G20" t="e">
        <f>NA()</f>
        <v>#N/A</v>
      </c>
      <c r="H20" t="e">
        <f>NA()</f>
        <v>#N/A</v>
      </c>
      <c r="I20" t="e">
        <f>NA()</f>
        <v>#N/A</v>
      </c>
      <c r="J20" t="e">
        <f>NA()</f>
        <v>#N/A</v>
      </c>
      <c r="K20" t="e">
        <f>NA()</f>
        <v>#N/A</v>
      </c>
      <c r="L20" t="e">
        <f>NA()</f>
        <v>#N/A</v>
      </c>
      <c r="M20" t="e">
        <f>NA()</f>
        <v>#N/A</v>
      </c>
      <c r="N20" t="e">
        <f>NA()</f>
        <v>#N/A</v>
      </c>
      <c r="O20" t="e">
        <f>NA()</f>
        <v>#N/A</v>
      </c>
      <c r="P20" t="e">
        <f>NA()</f>
        <v>#N/A</v>
      </c>
      <c r="Q20" t="e">
        <f>NA()</f>
        <v>#N/A</v>
      </c>
      <c r="R20" t="e">
        <f>NA()</f>
        <v>#N/A</v>
      </c>
      <c r="S20" t="e">
        <f>NA()</f>
        <v>#N/A</v>
      </c>
      <c r="T20" t="e">
        <f>NA()</f>
        <v>#N/A</v>
      </c>
      <c r="U20" t="e">
        <f>NA()</f>
        <v>#N/A</v>
      </c>
      <c r="V20" t="e">
        <f>NA()</f>
        <v>#N/A</v>
      </c>
      <c r="W20" t="e">
        <f>NA()</f>
        <v>#N/A</v>
      </c>
      <c r="X20" t="e">
        <f>NA()</f>
        <v>#N/A</v>
      </c>
      <c r="Y20" t="e">
        <f>NA()</f>
        <v>#N/A</v>
      </c>
      <c r="Z20" t="e">
        <f>NA()</f>
        <v>#N/A</v>
      </c>
      <c r="AA20" t="e">
        <f>NA()</f>
        <v>#N/A</v>
      </c>
      <c r="AB20" t="e">
        <f>NA()</f>
        <v>#N/A</v>
      </c>
      <c r="AC20" t="e">
        <f>NA()</f>
        <v>#N/A</v>
      </c>
      <c r="AD20" t="e">
        <f>NA()</f>
        <v>#N/A</v>
      </c>
      <c r="AE20">
        <f t="shared" si="16"/>
        <v>-40.65753601667303</v>
      </c>
      <c r="AF20">
        <f>IF(ISNA(AF7),IF(ISNA(AE7),NA(),IF(AE7&lt;$C$1,$C$1,NA())),IF(AF7&lt;$C$1,AF7,NA()))</f>
        <v>-40.49773749768055</v>
      </c>
      <c r="AG20">
        <f t="shared" si="14"/>
        <v>-40.01636914849029</v>
      </c>
      <c r="AH20">
        <f t="shared" si="14"/>
        <v>-39.20738877403685</v>
      </c>
      <c r="AI20">
        <f t="shared" si="14"/>
        <v>-38.06029471977164</v>
      </c>
      <c r="AJ20">
        <f t="shared" si="14"/>
        <v>-36.559408563035056</v>
      </c>
      <c r="AK20">
        <f t="shared" si="14"/>
        <v>-34.68270909681515</v>
      </c>
      <c r="AL20">
        <f t="shared" si="14"/>
        <v>-32.39999596664102</v>
      </c>
      <c r="AM20">
        <f t="shared" si="14"/>
        <v>-29.669977472202326</v>
      </c>
      <c r="AN20">
        <f t="shared" si="14"/>
        <v>-26.435510286613372</v>
      </c>
      <c r="AO20">
        <f t="shared" si="14"/>
        <v>-22.61542167291597</v>
      </c>
      <c r="AP20">
        <f t="shared" si="14"/>
        <v>-18.08942621393156</v>
      </c>
      <c r="AQ20">
        <f t="shared" si="14"/>
        <v>-12.667380819989113</v>
      </c>
      <c r="AR20">
        <f t="shared" si="14"/>
        <v>-6.016736014103742</v>
      </c>
      <c r="AS20">
        <f t="shared" si="14"/>
        <v>2.554231294067449</v>
      </c>
      <c r="AT20">
        <f t="shared" si="14"/>
        <v>15.142025360966944</v>
      </c>
      <c r="AU20">
        <f t="shared" si="14"/>
        <v>60</v>
      </c>
      <c r="AV20" t="e">
        <f t="shared" si="14"/>
        <v>#N/A</v>
      </c>
      <c r="AW20" t="e">
        <f t="shared" si="15"/>
        <v>#N/A</v>
      </c>
      <c r="AX20" t="e">
        <f t="shared" si="15"/>
        <v>#N/A</v>
      </c>
      <c r="AY20" t="e">
        <f t="shared" si="15"/>
        <v>#N/A</v>
      </c>
      <c r="AZ20" t="e">
        <f t="shared" si="15"/>
        <v>#N/A</v>
      </c>
      <c r="BA20" t="e">
        <f t="shared" si="15"/>
        <v>#N/A</v>
      </c>
      <c r="BB20" t="e">
        <f t="shared" si="15"/>
        <v>#N/A</v>
      </c>
      <c r="BC20" t="e">
        <f t="shared" si="15"/>
        <v>#N/A</v>
      </c>
      <c r="BD20" t="e">
        <f t="shared" si="15"/>
        <v>#N/A</v>
      </c>
      <c r="BE20" t="e">
        <f t="shared" si="15"/>
        <v>#N/A</v>
      </c>
    </row>
    <row r="21" spans="5:57" ht="12">
      <c r="E21" t="e">
        <f>NA()</f>
        <v>#N/A</v>
      </c>
      <c r="F21" t="e">
        <f>NA()</f>
        <v>#N/A</v>
      </c>
      <c r="G21" t="e">
        <f>NA()</f>
        <v>#N/A</v>
      </c>
      <c r="H21" t="e">
        <f>NA()</f>
        <v>#N/A</v>
      </c>
      <c r="I21" t="e">
        <f>NA()</f>
        <v>#N/A</v>
      </c>
      <c r="J21" t="e">
        <f>NA()</f>
        <v>#N/A</v>
      </c>
      <c r="K21" t="e">
        <f>NA()</f>
        <v>#N/A</v>
      </c>
      <c r="L21" t="e">
        <f>NA()</f>
        <v>#N/A</v>
      </c>
      <c r="M21" t="e">
        <f>NA()</f>
        <v>#N/A</v>
      </c>
      <c r="N21" t="e">
        <f>NA()</f>
        <v>#N/A</v>
      </c>
      <c r="O21" t="e">
        <f>NA()</f>
        <v>#N/A</v>
      </c>
      <c r="P21" t="e">
        <f>NA()</f>
        <v>#N/A</v>
      </c>
      <c r="Q21" t="e">
        <f>NA()</f>
        <v>#N/A</v>
      </c>
      <c r="R21" t="e">
        <f>NA()</f>
        <v>#N/A</v>
      </c>
      <c r="S21" t="e">
        <f>NA()</f>
        <v>#N/A</v>
      </c>
      <c r="T21" t="e">
        <f>NA()</f>
        <v>#N/A</v>
      </c>
      <c r="U21" t="e">
        <f>NA()</f>
        <v>#N/A</v>
      </c>
      <c r="V21" t="e">
        <f>NA()</f>
        <v>#N/A</v>
      </c>
      <c r="W21" t="e">
        <f>NA()</f>
        <v>#N/A</v>
      </c>
      <c r="X21" t="e">
        <f>NA()</f>
        <v>#N/A</v>
      </c>
      <c r="Y21" t="e">
        <f>NA()</f>
        <v>#N/A</v>
      </c>
      <c r="Z21" t="e">
        <f>NA()</f>
        <v>#N/A</v>
      </c>
      <c r="AA21" t="e">
        <f>NA()</f>
        <v>#N/A</v>
      </c>
      <c r="AB21" t="e">
        <f>NA()</f>
        <v>#N/A</v>
      </c>
      <c r="AC21" t="e">
        <f>NA()</f>
        <v>#N/A</v>
      </c>
      <c r="AD21" t="e">
        <f>NA()</f>
        <v>#N/A</v>
      </c>
      <c r="AE21">
        <f t="shared" si="16"/>
        <v>-48.678306725801754</v>
      </c>
      <c r="AF21">
        <f>IF(ISNA(AF8),IF(ISNA(AE8),NA(),IF(AE8&lt;$C$1,$C$1,NA())),IF(AF8&lt;$C$1,AF8,NA()))</f>
        <v>-48.54487960122841</v>
      </c>
      <c r="AG21">
        <f t="shared" si="14"/>
        <v>-48.143452327916215</v>
      </c>
      <c r="AH21">
        <f t="shared" si="14"/>
        <v>-47.47053743006078</v>
      </c>
      <c r="AI21">
        <f t="shared" si="14"/>
        <v>-46.52015138982967</v>
      </c>
      <c r="AJ21">
        <f t="shared" si="14"/>
        <v>-45.283539112065476</v>
      </c>
      <c r="AK21">
        <f t="shared" si="14"/>
        <v>-43.74874646241596</v>
      </c>
      <c r="AL21">
        <f t="shared" si="14"/>
        <v>-41.89998901902177</v>
      </c>
      <c r="AM21">
        <f t="shared" si="14"/>
        <v>-39.71673206018992</v>
      </c>
      <c r="AN21">
        <f t="shared" si="14"/>
        <v>-37.17234120628847</v>
      </c>
      <c r="AO21">
        <f t="shared" si="14"/>
        <v>-34.23206444410565</v>
      </c>
      <c r="AP21">
        <f t="shared" si="14"/>
        <v>-30.849920824118506</v>
      </c>
      <c r="AQ21">
        <f t="shared" si="14"/>
        <v>-26.96369945692694</v>
      </c>
      <c r="AR21">
        <f t="shared" si="14"/>
        <v>-22.486467487395267</v>
      </c>
      <c r="AS21">
        <f t="shared" si="14"/>
        <v>-17.291064303787635</v>
      </c>
      <c r="AT21">
        <f t="shared" si="14"/>
        <v>-11.178848684288923</v>
      </c>
      <c r="AU21">
        <f t="shared" si="14"/>
        <v>-3.8070900209698593</v>
      </c>
      <c r="AV21">
        <f t="shared" si="14"/>
        <v>5.52234909234835</v>
      </c>
      <c r="AW21">
        <f t="shared" si="15"/>
        <v>18.819602970570628</v>
      </c>
      <c r="AX21">
        <f t="shared" si="15"/>
        <v>60</v>
      </c>
      <c r="AY21" t="e">
        <f t="shared" si="15"/>
        <v>#N/A</v>
      </c>
      <c r="AZ21" t="e">
        <f t="shared" si="15"/>
        <v>#N/A</v>
      </c>
      <c r="BA21" t="e">
        <f t="shared" si="15"/>
        <v>#N/A</v>
      </c>
      <c r="BB21" t="e">
        <f t="shared" si="15"/>
        <v>#N/A</v>
      </c>
      <c r="BC21" t="e">
        <f t="shared" si="15"/>
        <v>#N/A</v>
      </c>
      <c r="BD21" t="e">
        <f t="shared" si="15"/>
        <v>#N/A</v>
      </c>
      <c r="BE21" t="e">
        <f t="shared" si="15"/>
        <v>#N/A</v>
      </c>
    </row>
    <row r="22" spans="5:57" ht="12">
      <c r="E22" t="e">
        <f>NA()</f>
        <v>#N/A</v>
      </c>
      <c r="F22" t="e">
        <f>NA()</f>
        <v>#N/A</v>
      </c>
      <c r="G22" t="e">
        <f>NA()</f>
        <v>#N/A</v>
      </c>
      <c r="H22" t="e">
        <f>NA()</f>
        <v>#N/A</v>
      </c>
      <c r="I22" t="e">
        <f>NA()</f>
        <v>#N/A</v>
      </c>
      <c r="J22" t="e">
        <f>NA()</f>
        <v>#N/A</v>
      </c>
      <c r="K22" t="e">
        <f>NA()</f>
        <v>#N/A</v>
      </c>
      <c r="L22" t="e">
        <f>NA()</f>
        <v>#N/A</v>
      </c>
      <c r="M22" t="e">
        <f>NA()</f>
        <v>#N/A</v>
      </c>
      <c r="N22" t="e">
        <f>NA()</f>
        <v>#N/A</v>
      </c>
      <c r="O22" t="e">
        <f>NA()</f>
        <v>#N/A</v>
      </c>
      <c r="P22" t="e">
        <f>NA()</f>
        <v>#N/A</v>
      </c>
      <c r="Q22" t="e">
        <f>NA()</f>
        <v>#N/A</v>
      </c>
      <c r="R22" t="e">
        <f>NA()</f>
        <v>#N/A</v>
      </c>
      <c r="S22" t="e">
        <f>NA()</f>
        <v>#N/A</v>
      </c>
      <c r="T22" t="e">
        <f>NA()</f>
        <v>#N/A</v>
      </c>
      <c r="U22" t="e">
        <f>NA()</f>
        <v>#N/A</v>
      </c>
      <c r="V22" t="e">
        <f>NA()</f>
        <v>#N/A</v>
      </c>
      <c r="W22" t="e">
        <f>NA()</f>
        <v>#N/A</v>
      </c>
      <c r="X22" t="e">
        <f>NA()</f>
        <v>#N/A</v>
      </c>
      <c r="Y22" t="e">
        <f>NA()</f>
        <v>#N/A</v>
      </c>
      <c r="Z22" t="e">
        <f>NA()</f>
        <v>#N/A</v>
      </c>
      <c r="AA22" t="e">
        <f>NA()</f>
        <v>#N/A</v>
      </c>
      <c r="AB22" t="e">
        <f>NA()</f>
        <v>#N/A</v>
      </c>
      <c r="AC22" t="e">
        <f>NA()</f>
        <v>#N/A</v>
      </c>
      <c r="AD22" t="e">
        <f>NA()</f>
        <v>#N/A</v>
      </c>
      <c r="AE22">
        <f t="shared" si="16"/>
        <v>-53.30061164336668</v>
      </c>
      <c r="AF22">
        <f>IF(ISNA(AF9),IF(ISNA(AE9),NA(),IF(AE9&lt;$C$1,$C$1,NA())),IF(AF9&lt;$C$1,AF9,NA()))</f>
        <v>-53.178769913765066</v>
      </c>
      <c r="AG22">
        <f t="shared" si="14"/>
        <v>-52.81237287800157</v>
      </c>
      <c r="AH22">
        <f t="shared" si="14"/>
        <v>-52.19877350151256</v>
      </c>
      <c r="AI22">
        <f t="shared" si="14"/>
        <v>-51.33345238757107</v>
      </c>
      <c r="AJ22">
        <f t="shared" si="14"/>
        <v>-50.20984641843273</v>
      </c>
      <c r="AK22">
        <f t="shared" si="14"/>
        <v>-48.81908752298607</v>
      </c>
      <c r="AL22">
        <f t="shared" si="14"/>
        <v>-47.14962600570182</v>
      </c>
      <c r="AM22">
        <f t="shared" si="14"/>
        <v>-45.186698232476274</v>
      </c>
      <c r="AN22">
        <f t="shared" si="14"/>
        <v>-42.91157551249913</v>
      </c>
      <c r="AO22">
        <f t="shared" si="14"/>
        <v>-40.30049327374408</v>
      </c>
      <c r="AP22">
        <f t="shared" si="14"/>
        <v>-37.32309469521935</v>
      </c>
      <c r="AQ22">
        <f t="shared" si="14"/>
        <v>-33.94010568762265</v>
      </c>
      <c r="AR22">
        <f t="shared" si="14"/>
        <v>-30.099734291171345</v>
      </c>
      <c r="AS22">
        <f t="shared" si="14"/>
        <v>-25.73183138257329</v>
      </c>
      <c r="AT22">
        <f t="shared" si="14"/>
        <v>-20.737841717204773</v>
      </c>
      <c r="AU22">
        <f t="shared" si="14"/>
        <v>-14.972106944974314</v>
      </c>
      <c r="AV22">
        <f t="shared" si="14"/>
        <v>-8.203159591974895</v>
      </c>
      <c r="AW22">
        <f t="shared" si="15"/>
        <v>-0.020089684212550196</v>
      </c>
      <c r="AX22">
        <f t="shared" si="15"/>
        <v>10.45968707281564</v>
      </c>
      <c r="AY22">
        <f t="shared" si="15"/>
        <v>26.165255066834636</v>
      </c>
      <c r="AZ22">
        <f t="shared" si="15"/>
        <v>60</v>
      </c>
      <c r="BA22" t="e">
        <f t="shared" si="15"/>
        <v>#N/A</v>
      </c>
      <c r="BB22" t="e">
        <f t="shared" si="15"/>
        <v>#N/A</v>
      </c>
      <c r="BC22" t="e">
        <f t="shared" si="15"/>
        <v>#N/A</v>
      </c>
      <c r="BD22" t="e">
        <f t="shared" si="15"/>
        <v>#N/A</v>
      </c>
      <c r="BE22" t="e">
        <f t="shared" si="15"/>
        <v>#N/A</v>
      </c>
    </row>
    <row r="23" spans="5:57" ht="12">
      <c r="E23" t="e">
        <f>IF(ISNA(E10),IF(ISNA(F10),NA(),IF(F10&lt;$C$1,$C$1,NA())),IF(E10&lt;$C$1,E10,NA()))</f>
        <v>#N/A</v>
      </c>
      <c r="F23" t="e">
        <f aca="true" t="shared" si="17" ref="F23:U27">IF(ISNA(F10),IF(ISNA(G10),NA(),IF(G10&lt;$C$1,$C$1,NA())),IF(F10&lt;$C$1,F10,NA()))</f>
        <v>#N/A</v>
      </c>
      <c r="G23" t="e">
        <f t="shared" si="17"/>
        <v>#N/A</v>
      </c>
      <c r="H23" t="e">
        <f t="shared" si="17"/>
        <v>#N/A</v>
      </c>
      <c r="I23" t="e">
        <f t="shared" si="17"/>
        <v>#N/A</v>
      </c>
      <c r="J23">
        <f t="shared" si="17"/>
        <v>60</v>
      </c>
      <c r="K23">
        <f t="shared" si="17"/>
        <v>21.43428628582852</v>
      </c>
      <c r="L23">
        <f t="shared" si="17"/>
        <v>7.679792061002296</v>
      </c>
      <c r="M23">
        <f t="shared" si="17"/>
        <v>-2.115256883181573</v>
      </c>
      <c r="N23">
        <f t="shared" si="17"/>
        <v>-9.924953066314565</v>
      </c>
      <c r="O23">
        <f t="shared" si="17"/>
        <v>-16.452990903344627</v>
      </c>
      <c r="P23">
        <f t="shared" si="17"/>
        <v>-22.04859471218022</v>
      </c>
      <c r="Q23">
        <f t="shared" si="17"/>
        <v>-26.915538092117657</v>
      </c>
      <c r="R23">
        <f t="shared" si="17"/>
        <v>-31.18497397917919</v>
      </c>
      <c r="S23">
        <f t="shared" si="17"/>
        <v>-34.94704232638122</v>
      </c>
      <c r="T23">
        <f t="shared" si="17"/>
        <v>-38.266641490429464</v>
      </c>
      <c r="U23">
        <f t="shared" si="17"/>
        <v>-41.192104921424004</v>
      </c>
      <c r="V23">
        <f t="shared" si="16"/>
        <v>-43.76033276391463</v>
      </c>
      <c r="W23">
        <f t="shared" si="16"/>
        <v>-46.000000000000014</v>
      </c>
      <c r="X23">
        <f t="shared" si="16"/>
        <v>-47.933651009241984</v>
      </c>
      <c r="Y23">
        <f t="shared" si="16"/>
        <v>-49.57911427603683</v>
      </c>
      <c r="Z23">
        <f t="shared" si="16"/>
        <v>-50.9504829111778</v>
      </c>
      <c r="AA23">
        <f t="shared" si="16"/>
        <v>-52.0588065773846</v>
      </c>
      <c r="AB23">
        <f t="shared" si="16"/>
        <v>-52.91258426451064</v>
      </c>
      <c r="AC23">
        <f t="shared" si="16"/>
        <v>-53.51811435686028</v>
      </c>
      <c r="AD23">
        <f t="shared" si="16"/>
        <v>-53.879738159084724</v>
      </c>
      <c r="AE23">
        <f t="shared" si="16"/>
        <v>-54.000000000000014</v>
      </c>
      <c r="AF23" t="e">
        <f>NA()</f>
        <v>#N/A</v>
      </c>
      <c r="AG23" t="e">
        <f>NA()</f>
        <v>#N/A</v>
      </c>
      <c r="AH23" t="e">
        <f>NA()</f>
        <v>#N/A</v>
      </c>
      <c r="AI23" t="e">
        <f>NA()</f>
        <v>#N/A</v>
      </c>
      <c r="AJ23" t="e">
        <f>NA()</f>
        <v>#N/A</v>
      </c>
      <c r="AK23" t="e">
        <f>NA()</f>
        <v>#N/A</v>
      </c>
      <c r="AL23" t="e">
        <f>NA()</f>
        <v>#N/A</v>
      </c>
      <c r="AM23" t="e">
        <f>NA()</f>
        <v>#N/A</v>
      </c>
      <c r="AN23" t="e">
        <f>NA()</f>
        <v>#N/A</v>
      </c>
      <c r="AO23" t="e">
        <f>NA()</f>
        <v>#N/A</v>
      </c>
      <c r="AP23" t="e">
        <f>NA()</f>
        <v>#N/A</v>
      </c>
      <c r="AQ23" t="e">
        <f>NA()</f>
        <v>#N/A</v>
      </c>
      <c r="AR23" t="e">
        <f>NA()</f>
        <v>#N/A</v>
      </c>
      <c r="AS23" t="e">
        <f>NA()</f>
        <v>#N/A</v>
      </c>
      <c r="AT23" t="e">
        <f>NA()</f>
        <v>#N/A</v>
      </c>
      <c r="AU23" t="e">
        <f>NA()</f>
        <v>#N/A</v>
      </c>
      <c r="AV23" t="e">
        <f>NA()</f>
        <v>#N/A</v>
      </c>
      <c r="AW23" t="e">
        <f>NA()</f>
        <v>#N/A</v>
      </c>
      <c r="AX23" t="e">
        <f>NA()</f>
        <v>#N/A</v>
      </c>
      <c r="AY23" t="e">
        <f>NA()</f>
        <v>#N/A</v>
      </c>
      <c r="AZ23" t="e">
        <f>NA()</f>
        <v>#N/A</v>
      </c>
      <c r="BA23" t="e">
        <f>NA()</f>
        <v>#N/A</v>
      </c>
      <c r="BB23" t="e">
        <f>NA()</f>
        <v>#N/A</v>
      </c>
      <c r="BC23" t="e">
        <f>NA()</f>
        <v>#N/A</v>
      </c>
      <c r="BD23" t="e">
        <f>NA()</f>
        <v>#N/A</v>
      </c>
      <c r="BE23" t="e">
        <f>NA()</f>
        <v>#N/A</v>
      </c>
    </row>
    <row r="24" spans="5:57" ht="12">
      <c r="E24" t="e">
        <f>IF(ISNA(E11),IF(ISNA(F11),NA(),IF(F11&lt;$C$1,$C$1,NA())),IF(E11&lt;$C$1,E11,NA()))</f>
        <v>#N/A</v>
      </c>
      <c r="F24" t="e">
        <f t="shared" si="17"/>
        <v>#N/A</v>
      </c>
      <c r="G24" t="e">
        <f t="shared" si="17"/>
        <v>#N/A</v>
      </c>
      <c r="H24" t="e">
        <f t="shared" si="17"/>
        <v>#N/A</v>
      </c>
      <c r="I24" t="e">
        <f t="shared" si="17"/>
        <v>#N/A</v>
      </c>
      <c r="J24" t="e">
        <f t="shared" si="17"/>
        <v>#N/A</v>
      </c>
      <c r="K24">
        <f t="shared" si="17"/>
        <v>60</v>
      </c>
      <c r="L24">
        <f t="shared" si="17"/>
        <v>29.489544731729115</v>
      </c>
      <c r="M24">
        <f t="shared" si="17"/>
        <v>11.596060694938181</v>
      </c>
      <c r="N24">
        <f t="shared" si="17"/>
        <v>0.7214785516541937</v>
      </c>
      <c r="O24">
        <f t="shared" si="17"/>
        <v>-7.5600744215126525</v>
      </c>
      <c r="P24">
        <f t="shared" si="17"/>
        <v>-14.319207040111209</v>
      </c>
      <c r="Q24">
        <f t="shared" si="17"/>
        <v>-20.02238990025932</v>
      </c>
      <c r="R24">
        <f t="shared" si="17"/>
        <v>-24.923417859341903</v>
      </c>
      <c r="S24">
        <f t="shared" si="17"/>
        <v>-29.178524269931252</v>
      </c>
      <c r="T24">
        <f t="shared" si="17"/>
        <v>-32.89177830492296</v>
      </c>
      <c r="U24">
        <f t="shared" si="17"/>
        <v>-36.136353790793045</v>
      </c>
      <c r="V24">
        <f t="shared" si="16"/>
        <v>-38.96571413403482</v>
      </c>
      <c r="W24">
        <f t="shared" si="16"/>
        <v>-41.42000484611642</v>
      </c>
      <c r="X24">
        <f t="shared" si="16"/>
        <v>-43.52994275418762</v>
      </c>
      <c r="Y24">
        <f t="shared" si="16"/>
        <v>-45.319298259895554</v>
      </c>
      <c r="Z24">
        <f t="shared" si="16"/>
        <v>-46.806538513441176</v>
      </c>
      <c r="AA24">
        <f t="shared" si="16"/>
        <v>-48.00594435082366</v>
      </c>
      <c r="AB24">
        <f t="shared" si="16"/>
        <v>-48.92838196252692</v>
      </c>
      <c r="AC24">
        <f t="shared" si="16"/>
        <v>-49.58183794163559</v>
      </c>
      <c r="AD24">
        <f t="shared" si="16"/>
        <v>-49.971784549236055</v>
      </c>
      <c r="AE24">
        <f t="shared" si="16"/>
        <v>-50.101416558813334</v>
      </c>
      <c r="AF24" t="e">
        <f>NA()</f>
        <v>#N/A</v>
      </c>
      <c r="AG24" t="e">
        <f>NA()</f>
        <v>#N/A</v>
      </c>
      <c r="AH24" t="e">
        <f>NA()</f>
        <v>#N/A</v>
      </c>
      <c r="AI24" t="e">
        <f>NA()</f>
        <v>#N/A</v>
      </c>
      <c r="AJ24" t="e">
        <f>NA()</f>
        <v>#N/A</v>
      </c>
      <c r="AK24" t="e">
        <f>NA()</f>
        <v>#N/A</v>
      </c>
      <c r="AL24" t="e">
        <f>NA()</f>
        <v>#N/A</v>
      </c>
      <c r="AM24" t="e">
        <f>NA()</f>
        <v>#N/A</v>
      </c>
      <c r="AN24" t="e">
        <f>NA()</f>
        <v>#N/A</v>
      </c>
      <c r="AO24" t="e">
        <f>NA()</f>
        <v>#N/A</v>
      </c>
      <c r="AP24" t="e">
        <f>NA()</f>
        <v>#N/A</v>
      </c>
      <c r="AQ24" t="e">
        <f>NA()</f>
        <v>#N/A</v>
      </c>
      <c r="AR24" t="e">
        <f>NA()</f>
        <v>#N/A</v>
      </c>
      <c r="AS24" t="e">
        <f>NA()</f>
        <v>#N/A</v>
      </c>
      <c r="AT24" t="e">
        <f>NA()</f>
        <v>#N/A</v>
      </c>
      <c r="AU24" t="e">
        <f>NA()</f>
        <v>#N/A</v>
      </c>
      <c r="AV24" t="e">
        <f>NA()</f>
        <v>#N/A</v>
      </c>
      <c r="AW24" t="e">
        <f>NA()</f>
        <v>#N/A</v>
      </c>
      <c r="AX24" t="e">
        <f>NA()</f>
        <v>#N/A</v>
      </c>
      <c r="AY24" t="e">
        <f>NA()</f>
        <v>#N/A</v>
      </c>
      <c r="AZ24" t="e">
        <f>NA()</f>
        <v>#N/A</v>
      </c>
      <c r="BA24" t="e">
        <f>NA()</f>
        <v>#N/A</v>
      </c>
      <c r="BB24" t="e">
        <f>NA()</f>
        <v>#N/A</v>
      </c>
      <c r="BC24" t="e">
        <f>NA()</f>
        <v>#N/A</v>
      </c>
      <c r="BD24" t="e">
        <f>NA()</f>
        <v>#N/A</v>
      </c>
      <c r="BE24" t="e">
        <f>NA()</f>
        <v>#N/A</v>
      </c>
    </row>
    <row r="25" spans="5:57" ht="12">
      <c r="E25" t="e">
        <f>IF(ISNA(E12),IF(ISNA(F12),NA(),IF(F12&lt;$C$1,$C$1,NA())),IF(E12&lt;$C$1,E12,NA()))</f>
        <v>#N/A</v>
      </c>
      <c r="F25" t="e">
        <f t="shared" si="17"/>
        <v>#N/A</v>
      </c>
      <c r="G25" t="e">
        <f t="shared" si="17"/>
        <v>#N/A</v>
      </c>
      <c r="H25" t="e">
        <f t="shared" si="17"/>
        <v>#N/A</v>
      </c>
      <c r="I25" t="e">
        <f t="shared" si="17"/>
        <v>#N/A</v>
      </c>
      <c r="J25" t="e">
        <f t="shared" si="17"/>
        <v>#N/A</v>
      </c>
      <c r="K25" t="e">
        <f t="shared" si="17"/>
        <v>#N/A</v>
      </c>
      <c r="L25" t="e">
        <f t="shared" si="17"/>
        <v>#N/A</v>
      </c>
      <c r="M25" t="e">
        <f t="shared" si="17"/>
        <v>#N/A</v>
      </c>
      <c r="N25" t="e">
        <f t="shared" si="17"/>
        <v>#N/A</v>
      </c>
      <c r="O25">
        <f t="shared" si="17"/>
        <v>60</v>
      </c>
      <c r="P25">
        <f t="shared" si="17"/>
        <v>14.83779521542726</v>
      </c>
      <c r="Q25">
        <f t="shared" si="17"/>
        <v>2.375733400835067</v>
      </c>
      <c r="R25">
        <f t="shared" si="17"/>
        <v>-6.150749624358063</v>
      </c>
      <c r="S25">
        <f t="shared" si="17"/>
        <v>-12.777260824690458</v>
      </c>
      <c r="T25">
        <f t="shared" si="17"/>
        <v>-18.183874224211216</v>
      </c>
      <c r="U25">
        <f t="shared" si="17"/>
        <v>-22.699106860329138</v>
      </c>
      <c r="V25">
        <f t="shared" si="16"/>
        <v>-26.511290743444334</v>
      </c>
      <c r="W25">
        <f t="shared" si="16"/>
        <v>-29.73976444409945</v>
      </c>
      <c r="X25">
        <f t="shared" si="16"/>
        <v>-32.46515385800306</v>
      </c>
      <c r="Y25">
        <f t="shared" si="16"/>
        <v>-34.74426398524959</v>
      </c>
      <c r="Z25">
        <f t="shared" si="16"/>
        <v>-36.61816696021475</v>
      </c>
      <c r="AA25">
        <f t="shared" si="16"/>
        <v>-38.116916195535296</v>
      </c>
      <c r="AB25">
        <f t="shared" si="16"/>
        <v>-39.26243320387857</v>
      </c>
      <c r="AC25">
        <f t="shared" si="16"/>
        <v>-40.07032933385753</v>
      </c>
      <c r="AD25">
        <f t="shared" si="16"/>
        <v>-40.55106315616658</v>
      </c>
      <c r="AE25">
        <f t="shared" si="16"/>
        <v>-40.71065275442811</v>
      </c>
      <c r="AF25" t="e">
        <f>NA()</f>
        <v>#N/A</v>
      </c>
      <c r="AG25" t="e">
        <f>NA()</f>
        <v>#N/A</v>
      </c>
      <c r="AH25" t="e">
        <f>NA()</f>
        <v>#N/A</v>
      </c>
      <c r="AI25" t="e">
        <f>NA()</f>
        <v>#N/A</v>
      </c>
      <c r="AJ25" t="e">
        <f>NA()</f>
        <v>#N/A</v>
      </c>
      <c r="AK25" t="e">
        <f>NA()</f>
        <v>#N/A</v>
      </c>
      <c r="AL25" t="e">
        <f>NA()</f>
        <v>#N/A</v>
      </c>
      <c r="AM25" t="e">
        <f>NA()</f>
        <v>#N/A</v>
      </c>
      <c r="AN25" t="e">
        <f>NA()</f>
        <v>#N/A</v>
      </c>
      <c r="AO25" t="e">
        <f>NA()</f>
        <v>#N/A</v>
      </c>
      <c r="AP25" t="e">
        <f>NA()</f>
        <v>#N/A</v>
      </c>
      <c r="AQ25" t="e">
        <f>NA()</f>
        <v>#N/A</v>
      </c>
      <c r="AR25" t="e">
        <f>NA()</f>
        <v>#N/A</v>
      </c>
      <c r="AS25" t="e">
        <f>NA()</f>
        <v>#N/A</v>
      </c>
      <c r="AT25" t="e">
        <f>NA()</f>
        <v>#N/A</v>
      </c>
      <c r="AU25" t="e">
        <f>NA()</f>
        <v>#N/A</v>
      </c>
      <c r="AV25" t="e">
        <f>NA()</f>
        <v>#N/A</v>
      </c>
      <c r="AW25" t="e">
        <f>NA()</f>
        <v>#N/A</v>
      </c>
      <c r="AX25" t="e">
        <f>NA()</f>
        <v>#N/A</v>
      </c>
      <c r="AY25" t="e">
        <f>NA()</f>
        <v>#N/A</v>
      </c>
      <c r="AZ25" t="e">
        <f>NA()</f>
        <v>#N/A</v>
      </c>
      <c r="BA25" t="e">
        <f>NA()</f>
        <v>#N/A</v>
      </c>
      <c r="BB25" t="e">
        <f>NA()</f>
        <v>#N/A</v>
      </c>
      <c r="BC25" t="e">
        <f>NA()</f>
        <v>#N/A</v>
      </c>
      <c r="BD25" t="e">
        <f>NA()</f>
        <v>#N/A</v>
      </c>
      <c r="BE25" t="e">
        <f>NA()</f>
        <v>#N/A</v>
      </c>
    </row>
    <row r="26" spans="5:57" ht="12">
      <c r="E26" t="e">
        <f>IF(ISNA(E13),IF(ISNA(F13),NA(),IF(F13&lt;$C$1,$C$1,NA())),IF(E13&lt;$C$1,E13,NA()))</f>
        <v>#N/A</v>
      </c>
      <c r="F26" t="e">
        <f t="shared" si="17"/>
        <v>#N/A</v>
      </c>
      <c r="G26" t="e">
        <f t="shared" si="17"/>
        <v>#N/A</v>
      </c>
      <c r="H26" t="e">
        <f t="shared" si="17"/>
        <v>#N/A</v>
      </c>
      <c r="I26" t="e">
        <f t="shared" si="17"/>
        <v>#N/A</v>
      </c>
      <c r="J26" t="e">
        <f t="shared" si="17"/>
        <v>#N/A</v>
      </c>
      <c r="K26" t="e">
        <f t="shared" si="17"/>
        <v>#N/A</v>
      </c>
      <c r="L26" t="e">
        <f t="shared" si="17"/>
        <v>#N/A</v>
      </c>
      <c r="M26" t="e">
        <f t="shared" si="17"/>
        <v>#N/A</v>
      </c>
      <c r="N26" t="e">
        <f t="shared" si="17"/>
        <v>#N/A</v>
      </c>
      <c r="O26" t="e">
        <f t="shared" si="17"/>
        <v>#N/A</v>
      </c>
      <c r="P26" t="e">
        <f t="shared" si="17"/>
        <v>#N/A</v>
      </c>
      <c r="Q26" t="e">
        <f t="shared" si="17"/>
        <v>#N/A</v>
      </c>
      <c r="R26" t="e">
        <f t="shared" si="17"/>
        <v>#N/A</v>
      </c>
      <c r="S26" t="e">
        <f t="shared" si="17"/>
        <v>#N/A</v>
      </c>
      <c r="T26" t="e">
        <f t="shared" si="17"/>
        <v>#N/A</v>
      </c>
      <c r="U26">
        <f t="shared" si="17"/>
        <v>60</v>
      </c>
      <c r="V26">
        <f t="shared" si="16"/>
        <v>7.9593642058727045</v>
      </c>
      <c r="W26">
        <f t="shared" si="16"/>
        <v>-2.6110784804445757</v>
      </c>
      <c r="X26">
        <f t="shared" si="16"/>
        <v>-9.153388352258776</v>
      </c>
      <c r="Y26">
        <f t="shared" si="16"/>
        <v>-13.891054266003135</v>
      </c>
      <c r="Z26">
        <f t="shared" si="16"/>
        <v>-17.466553082817942</v>
      </c>
      <c r="AA26">
        <f t="shared" si="16"/>
        <v>-20.171126485307344</v>
      </c>
      <c r="AB26">
        <f t="shared" si="16"/>
        <v>-22.16229348578508</v>
      </c>
      <c r="AC26">
        <f t="shared" si="16"/>
        <v>-23.532168508563327</v>
      </c>
      <c r="AD26">
        <f t="shared" si="16"/>
        <v>-24.33497825855412</v>
      </c>
      <c r="AE26">
        <f t="shared" si="16"/>
        <v>-24.599558551238335</v>
      </c>
      <c r="AF26" t="e">
        <f>NA()</f>
        <v>#N/A</v>
      </c>
      <c r="AG26" t="e">
        <f>NA()</f>
        <v>#N/A</v>
      </c>
      <c r="AH26" t="e">
        <f>NA()</f>
        <v>#N/A</v>
      </c>
      <c r="AI26" t="e">
        <f>NA()</f>
        <v>#N/A</v>
      </c>
      <c r="AJ26" t="e">
        <f>NA()</f>
        <v>#N/A</v>
      </c>
      <c r="AK26" t="e">
        <f>NA()</f>
        <v>#N/A</v>
      </c>
      <c r="AL26" t="e">
        <f>NA()</f>
        <v>#N/A</v>
      </c>
      <c r="AM26" t="e">
        <f>NA()</f>
        <v>#N/A</v>
      </c>
      <c r="AN26" t="e">
        <f>NA()</f>
        <v>#N/A</v>
      </c>
      <c r="AO26" t="e">
        <f>NA()</f>
        <v>#N/A</v>
      </c>
      <c r="AP26" t="e">
        <f>NA()</f>
        <v>#N/A</v>
      </c>
      <c r="AQ26" t="e">
        <f>NA()</f>
        <v>#N/A</v>
      </c>
      <c r="AR26" t="e">
        <f>NA()</f>
        <v>#N/A</v>
      </c>
      <c r="AS26" t="e">
        <f>NA()</f>
        <v>#N/A</v>
      </c>
      <c r="AT26" t="e">
        <f>NA()</f>
        <v>#N/A</v>
      </c>
      <c r="AU26" t="e">
        <f>NA()</f>
        <v>#N/A</v>
      </c>
      <c r="AV26" t="e">
        <f>NA()</f>
        <v>#N/A</v>
      </c>
      <c r="AW26" t="e">
        <f>NA()</f>
        <v>#N/A</v>
      </c>
      <c r="AX26" t="e">
        <f>NA()</f>
        <v>#N/A</v>
      </c>
      <c r="AY26" t="e">
        <f>NA()</f>
        <v>#N/A</v>
      </c>
      <c r="AZ26" t="e">
        <f>NA()</f>
        <v>#N/A</v>
      </c>
      <c r="BA26" t="e">
        <f>NA()</f>
        <v>#N/A</v>
      </c>
      <c r="BB26" t="e">
        <f>NA()</f>
        <v>#N/A</v>
      </c>
      <c r="BC26" t="e">
        <f>NA()</f>
        <v>#N/A</v>
      </c>
      <c r="BD26" t="e">
        <f>NA()</f>
        <v>#N/A</v>
      </c>
      <c r="BE26" t="e">
        <f>NA()</f>
        <v>#N/A</v>
      </c>
    </row>
    <row r="27" spans="5:57" ht="12">
      <c r="E27" t="e">
        <f>IF(ISNA(E14),IF(ISNA(F14),NA(),IF(F14&lt;$C$1,$C$1,NA())),IF(E14&lt;$C$1,E14,NA()))</f>
        <v>#N/A</v>
      </c>
      <c r="F27" t="e">
        <f t="shared" si="17"/>
        <v>#N/A</v>
      </c>
      <c r="G27" t="e">
        <f t="shared" si="17"/>
        <v>#N/A</v>
      </c>
      <c r="H27" t="e">
        <f t="shared" si="17"/>
        <v>#N/A</v>
      </c>
      <c r="I27" t="e">
        <f t="shared" si="17"/>
        <v>#N/A</v>
      </c>
      <c r="J27" t="e">
        <f t="shared" si="17"/>
        <v>#N/A</v>
      </c>
      <c r="K27" t="e">
        <f t="shared" si="17"/>
        <v>#N/A</v>
      </c>
      <c r="L27" t="e">
        <f t="shared" si="17"/>
        <v>#N/A</v>
      </c>
      <c r="M27" t="e">
        <f t="shared" si="17"/>
        <v>#N/A</v>
      </c>
      <c r="N27" t="e">
        <f t="shared" si="17"/>
        <v>#N/A</v>
      </c>
      <c r="O27" t="e">
        <f t="shared" si="17"/>
        <v>#N/A</v>
      </c>
      <c r="P27" t="e">
        <f t="shared" si="17"/>
        <v>#N/A</v>
      </c>
      <c r="Q27" t="e">
        <f t="shared" si="17"/>
        <v>#N/A</v>
      </c>
      <c r="R27" t="e">
        <f t="shared" si="17"/>
        <v>#N/A</v>
      </c>
      <c r="S27" t="e">
        <f t="shared" si="17"/>
        <v>#N/A</v>
      </c>
      <c r="T27" t="e">
        <f t="shared" si="17"/>
        <v>#N/A</v>
      </c>
      <c r="U27" t="e">
        <f t="shared" si="17"/>
        <v>#N/A</v>
      </c>
      <c r="V27" t="e">
        <f t="shared" si="16"/>
        <v>#N/A</v>
      </c>
      <c r="W27" t="e">
        <f t="shared" si="16"/>
        <v>#N/A</v>
      </c>
      <c r="X27" t="e">
        <f t="shared" si="16"/>
        <v>#N/A</v>
      </c>
      <c r="Y27" t="e">
        <f t="shared" si="16"/>
        <v>#N/A</v>
      </c>
      <c r="Z27" t="e">
        <f t="shared" si="16"/>
        <v>#N/A</v>
      </c>
      <c r="AA27" t="e">
        <f t="shared" si="16"/>
        <v>#N/A</v>
      </c>
      <c r="AB27" t="e">
        <f t="shared" si="16"/>
        <v>#N/A</v>
      </c>
      <c r="AC27" t="e">
        <f t="shared" si="16"/>
        <v>#N/A</v>
      </c>
      <c r="AD27" t="e">
        <f t="shared" si="16"/>
        <v>#N/A</v>
      </c>
      <c r="AE27" t="e">
        <f t="shared" si="16"/>
        <v>#N/A</v>
      </c>
      <c r="AF27" t="e">
        <f>NA()</f>
        <v>#N/A</v>
      </c>
      <c r="AG27" t="e">
        <f>NA()</f>
        <v>#N/A</v>
      </c>
      <c r="AH27" t="e">
        <f>NA()</f>
        <v>#N/A</v>
      </c>
      <c r="AI27" t="e">
        <f>NA()</f>
        <v>#N/A</v>
      </c>
      <c r="AJ27" t="e">
        <f>NA()</f>
        <v>#N/A</v>
      </c>
      <c r="AK27" t="e">
        <f>NA()</f>
        <v>#N/A</v>
      </c>
      <c r="AL27" t="e">
        <f>NA()</f>
        <v>#N/A</v>
      </c>
      <c r="AM27" t="e">
        <f>NA()</f>
        <v>#N/A</v>
      </c>
      <c r="AN27" t="e">
        <f>NA()</f>
        <v>#N/A</v>
      </c>
      <c r="AO27" t="e">
        <f>NA()</f>
        <v>#N/A</v>
      </c>
      <c r="AP27" t="e">
        <f>NA()</f>
        <v>#N/A</v>
      </c>
      <c r="AQ27" t="e">
        <f>NA()</f>
        <v>#N/A</v>
      </c>
      <c r="AR27" t="e">
        <f>NA()</f>
        <v>#N/A</v>
      </c>
      <c r="AS27" t="e">
        <f>NA()</f>
        <v>#N/A</v>
      </c>
      <c r="AT27" t="e">
        <f>NA()</f>
        <v>#N/A</v>
      </c>
      <c r="AU27" t="e">
        <f>NA()</f>
        <v>#N/A</v>
      </c>
      <c r="AV27" t="e">
        <f>NA()</f>
        <v>#N/A</v>
      </c>
      <c r="AW27" t="e">
        <f>NA()</f>
        <v>#N/A</v>
      </c>
      <c r="AX27" t="e">
        <f>NA()</f>
        <v>#N/A</v>
      </c>
      <c r="AY27" t="e">
        <f>NA()</f>
        <v>#N/A</v>
      </c>
      <c r="AZ27" t="e">
        <f>NA()</f>
        <v>#N/A</v>
      </c>
      <c r="BA27" t="e">
        <f>NA()</f>
        <v>#N/A</v>
      </c>
      <c r="BB27" t="e">
        <f>NA()</f>
        <v>#N/A</v>
      </c>
      <c r="BC27" t="e">
        <f>NA()</f>
        <v>#N/A</v>
      </c>
      <c r="BD27" t="e">
        <f>NA()</f>
        <v>#N/A</v>
      </c>
      <c r="BE27" t="e">
        <f>NA()</f>
        <v>#N/A</v>
      </c>
    </row>
    <row r="55" ht="12">
      <c r="A55" t="s">
        <v>172</v>
      </c>
    </row>
    <row r="56" ht="12">
      <c r="A56" t="s">
        <v>145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6"/>
  <sheetViews>
    <sheetView workbookViewId="0" topLeftCell="A1">
      <selection activeCell="A1" sqref="A1"/>
    </sheetView>
  </sheetViews>
  <sheetFormatPr defaultColWidth="9.00390625" defaultRowHeight="12.75"/>
  <cols>
    <col min="1" max="3" width="3.875" style="0" customWidth="1"/>
  </cols>
  <sheetData>
    <row r="1" ht="12">
      <c r="B1">
        <f>DESIGN!K70</f>
        <v>54</v>
      </c>
    </row>
    <row r="3" spans="1:3" ht="12">
      <c r="A3">
        <f>DESIGN!A75</f>
        <v>0</v>
      </c>
      <c r="B3">
        <f>DESIGN!D75</f>
        <v>0</v>
      </c>
      <c r="C3">
        <f>-B3</f>
        <v>0</v>
      </c>
    </row>
    <row r="4" spans="1:3" ht="12">
      <c r="A4">
        <f>DESIGN!A76</f>
        <v>1</v>
      </c>
      <c r="B4">
        <f>DESIGN!D76</f>
        <v>16.009958985248932</v>
      </c>
      <c r="C4">
        <f aca="true" t="shared" si="0" ref="C4:C13">-B4</f>
        <v>-16.009958985248932</v>
      </c>
    </row>
    <row r="5" spans="1:3" ht="12">
      <c r="A5">
        <f>DESIGN!A77</f>
        <v>2</v>
      </c>
      <c r="B5">
        <f>DESIGN!D77</f>
        <v>29.655367681415374</v>
      </c>
      <c r="C5">
        <f t="shared" si="0"/>
        <v>-29.655367681415374</v>
      </c>
    </row>
    <row r="6" spans="1:3" ht="12">
      <c r="A6">
        <f>DESIGN!A78</f>
        <v>3</v>
      </c>
      <c r="B6">
        <f>DESIGN!D78</f>
        <v>40.657536016673035</v>
      </c>
      <c r="C6">
        <f t="shared" si="0"/>
        <v>-40.657536016673035</v>
      </c>
    </row>
    <row r="7" spans="1:3" ht="12">
      <c r="A7">
        <f>DESIGN!A79</f>
        <v>4</v>
      </c>
      <c r="B7">
        <f>DESIGN!D79</f>
        <v>48.67830672580176</v>
      </c>
      <c r="C7">
        <f t="shared" si="0"/>
        <v>-48.67830672580176</v>
      </c>
    </row>
    <row r="8" spans="1:3" ht="12">
      <c r="A8">
        <f>DESIGN!A80</f>
        <v>5</v>
      </c>
      <c r="B8">
        <f>DESIGN!D80</f>
        <v>53.30061164336668</v>
      </c>
      <c r="C8">
        <f t="shared" si="0"/>
        <v>-53.30061164336668</v>
      </c>
    </row>
    <row r="9" spans="1:3" ht="12">
      <c r="A9">
        <f>DESIGN!A81</f>
        <v>6</v>
      </c>
      <c r="B9">
        <f>DESIGN!D81</f>
        <v>54.00000000000001</v>
      </c>
      <c r="C9">
        <f t="shared" si="0"/>
        <v>-54.00000000000001</v>
      </c>
    </row>
    <row r="10" spans="1:3" ht="12">
      <c r="A10">
        <f>DESIGN!A82</f>
        <v>7</v>
      </c>
      <c r="B10">
        <f>DESIGN!D82</f>
        <v>50.10141655881334</v>
      </c>
      <c r="C10">
        <f t="shared" si="0"/>
        <v>-50.10141655881334</v>
      </c>
    </row>
    <row r="11" spans="1:3" ht="12">
      <c r="A11">
        <f>DESIGN!A83</f>
        <v>8</v>
      </c>
      <c r="B11">
        <f>DESIGN!D83</f>
        <v>40.710652754428104</v>
      </c>
      <c r="C11">
        <f t="shared" si="0"/>
        <v>-40.710652754428104</v>
      </c>
    </row>
    <row r="12" spans="1:3" ht="12">
      <c r="A12">
        <f>DESIGN!A84</f>
        <v>9</v>
      </c>
      <c r="B12">
        <f>DESIGN!D84</f>
        <v>24.59955855123833</v>
      </c>
      <c r="C12">
        <f t="shared" si="0"/>
        <v>-24.59955855123833</v>
      </c>
    </row>
    <row r="13" spans="1:3" ht="12">
      <c r="A13">
        <f>DESIGN!A85</f>
        <v>10</v>
      </c>
      <c r="B13">
        <f>DESIGN!D85</f>
        <v>0</v>
      </c>
      <c r="C13">
        <f t="shared" si="0"/>
        <v>0</v>
      </c>
    </row>
    <row r="15" ht="12">
      <c r="D15" t="s">
        <v>173</v>
      </c>
    </row>
    <row r="16" ht="12">
      <c r="D16" t="s">
        <v>174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.375" style="0" customWidth="1"/>
  </cols>
  <sheetData>
    <row r="1" spans="1:2" ht="12">
      <c r="A1">
        <f>DESIGN!A75</f>
        <v>0</v>
      </c>
      <c r="B1">
        <f>DESIGN!J75</f>
        <v>0</v>
      </c>
    </row>
    <row r="2" spans="1:2" ht="12">
      <c r="A2">
        <f>DESIGN!A76</f>
        <v>1</v>
      </c>
      <c r="B2">
        <f>DESIGN!J76</f>
        <v>615.7944750285609</v>
      </c>
    </row>
    <row r="3" spans="1:2" ht="12">
      <c r="A3">
        <f>DESIGN!A77</f>
        <v>2</v>
      </c>
      <c r="B3">
        <f>DESIGN!J77</f>
        <v>2112.817451306132</v>
      </c>
    </row>
    <row r="4" spans="1:2" ht="12">
      <c r="A4">
        <f>DESIGN!A78</f>
        <v>3</v>
      </c>
      <c r="B4">
        <f>DESIGN!J78</f>
        <v>3971.3435670331914</v>
      </c>
    </row>
    <row r="5" spans="1:2" ht="12">
      <c r="A5">
        <f>DESIGN!A79</f>
        <v>4</v>
      </c>
      <c r="B5">
        <f>DESIGN!J79</f>
        <v>5692.804571687513</v>
      </c>
    </row>
    <row r="6" spans="1:2" ht="12">
      <c r="A6">
        <f>DESIGN!A80</f>
        <v>5</v>
      </c>
      <c r="B6">
        <f>DESIGN!J80</f>
        <v>6825.268406510495</v>
      </c>
    </row>
    <row r="7" spans="1:2" ht="12">
      <c r="A7">
        <f>DESIGN!A81</f>
        <v>6</v>
      </c>
      <c r="B7">
        <f>DESIGN!J81</f>
        <v>7005.560194147724</v>
      </c>
    </row>
    <row r="8" spans="1:2" ht="12">
      <c r="A8">
        <f>DESIGN!A82</f>
        <v>7</v>
      </c>
      <c r="B8">
        <f>DESIGN!J82</f>
        <v>6030.528299222052</v>
      </c>
    </row>
    <row r="9" spans="1:2" ht="12">
      <c r="A9">
        <f>DESIGN!A83</f>
        <v>8</v>
      </c>
      <c r="B9">
        <f>DESIGN!J83</f>
        <v>3981.7270102574325</v>
      </c>
    </row>
    <row r="10" spans="1:2" ht="12">
      <c r="A10">
        <f>DESIGN!A84</f>
        <v>9</v>
      </c>
      <c r="B10">
        <f>DESIGN!J84</f>
        <v>1453.8177821463412</v>
      </c>
    </row>
    <row r="11" spans="1:2" ht="12">
      <c r="A11">
        <f>DESIGN!A85</f>
        <v>10</v>
      </c>
      <c r="B11">
        <f>DESIGN!J85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22"/>
  <sheetViews>
    <sheetView workbookViewId="0" topLeftCell="A1">
      <selection activeCell="A1" sqref="A1"/>
    </sheetView>
  </sheetViews>
  <sheetFormatPr defaultColWidth="9.00390625" defaultRowHeight="12.75"/>
  <cols>
    <col min="1" max="5" width="5.625" style="0" customWidth="1"/>
  </cols>
  <sheetData>
    <row r="1" spans="1:5" ht="12">
      <c r="A1">
        <f>DESIGN!A129</f>
        <v>0</v>
      </c>
      <c r="B1">
        <f>DESIGN!L129</f>
        <v>0</v>
      </c>
      <c r="C1">
        <f>DESIGN!M129</f>
        <v>0</v>
      </c>
      <c r="D1" s="25"/>
      <c r="E1" s="25"/>
    </row>
    <row r="2" spans="1:5" ht="12">
      <c r="A2">
        <f>DESIGN!A130</f>
        <v>1</v>
      </c>
      <c r="B2">
        <f>DESIGN!L130</f>
        <v>32.273024367311955</v>
      </c>
      <c r="C2">
        <f>DESIGN!M130</f>
        <v>-17.448988269859242</v>
      </c>
      <c r="D2" s="25"/>
      <c r="E2" s="25"/>
    </row>
    <row r="3" spans="1:5" ht="12">
      <c r="A3">
        <f>DESIGN!A131</f>
        <v>2</v>
      </c>
      <c r="B3">
        <f>DESIGN!L131</f>
        <v>62.8259842330657</v>
      </c>
      <c r="C3">
        <f>DESIGN!M131</f>
        <v>-35.367310453977396</v>
      </c>
      <c r="D3" s="25"/>
      <c r="E3" s="25"/>
    </row>
    <row r="4" spans="1:5" ht="12">
      <c r="A4">
        <f>DESIGN!A132</f>
        <v>3</v>
      </c>
      <c r="B4">
        <f>DESIGN!L132</f>
        <v>87.28580120816977</v>
      </c>
      <c r="C4">
        <f>DESIGN!M132</f>
        <v>-49.639934526065126</v>
      </c>
      <c r="D4" s="25"/>
      <c r="E4" s="25"/>
    </row>
    <row r="5" spans="1:5" ht="12">
      <c r="A5">
        <f>DESIGN!A133</f>
        <v>4</v>
      </c>
      <c r="B5">
        <f>DESIGN!L133</f>
        <v>105.08769494072482</v>
      </c>
      <c r="C5">
        <f>DESIGN!M133</f>
        <v>-60.01518871313059</v>
      </c>
      <c r="D5" s="25"/>
      <c r="E5" s="25"/>
    </row>
    <row r="6" spans="1:5" ht="12">
      <c r="A6">
        <f>DESIGN!A134</f>
        <v>5</v>
      </c>
      <c r="B6">
        <f>DESIGN!L134</f>
        <v>115.34061227964597</v>
      </c>
      <c r="C6">
        <f>DESIGN!M134</f>
        <v>-65.9881940913435</v>
      </c>
      <c r="D6" s="25"/>
      <c r="E6" s="25"/>
    </row>
    <row r="7" spans="1:5" ht="12">
      <c r="A7">
        <f>DESIGN!A135</f>
        <v>6</v>
      </c>
      <c r="B7">
        <f>DESIGN!L135</f>
        <v>116.89166178799199</v>
      </c>
      <c r="C7">
        <f>DESIGN!M135</f>
        <v>-66.89166178799199</v>
      </c>
      <c r="D7" s="25"/>
      <c r="E7" s="25"/>
    </row>
    <row r="8" spans="1:5" ht="12">
      <c r="A8">
        <f>DESIGN!A136</f>
        <v>7</v>
      </c>
      <c r="B8">
        <f>DESIGN!L136</f>
        <v>108.24474233229643</v>
      </c>
      <c r="C8">
        <f>DESIGN!M136</f>
        <v>-61.854541814876676</v>
      </c>
      <c r="D8" s="25"/>
      <c r="E8" s="25"/>
    </row>
    <row r="9" spans="1:5" ht="12">
      <c r="A9">
        <f>DESIGN!A137</f>
        <v>8</v>
      </c>
      <c r="B9">
        <f>DESIGN!L137</f>
        <v>87.40375965972262</v>
      </c>
      <c r="C9">
        <f>DESIGN!M137</f>
        <v>-49.70871081302994</v>
      </c>
      <c r="D9" s="25"/>
      <c r="E9" s="25"/>
    </row>
    <row r="10" spans="1:5" ht="12">
      <c r="A10">
        <f>DESIGN!A138</f>
        <v>9</v>
      </c>
      <c r="B10">
        <f>DESIGN!L138</f>
        <v>51.553504422237665</v>
      </c>
      <c r="C10">
        <f>DESIGN!M138</f>
        <v>-28.776135393313286</v>
      </c>
      <c r="D10" s="25"/>
      <c r="E10" s="25"/>
    </row>
    <row r="11" spans="1:5" ht="12">
      <c r="A11">
        <f>DESIGN!A139</f>
        <v>10</v>
      </c>
      <c r="B11">
        <f>DESIGN!L139</f>
        <v>0</v>
      </c>
      <c r="C11">
        <f>DESIGN!M139</f>
        <v>0</v>
      </c>
      <c r="D11" s="25"/>
      <c r="E11" s="25"/>
    </row>
    <row r="21" ht="12">
      <c r="D21" t="s">
        <v>173</v>
      </c>
    </row>
    <row r="22" ht="12">
      <c r="D22" t="s">
        <v>175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C29"/>
  <sheetViews>
    <sheetView workbookViewId="0" topLeftCell="A1">
      <selection activeCell="A1" sqref="A1"/>
    </sheetView>
  </sheetViews>
  <sheetFormatPr defaultColWidth="9.00390625" defaultRowHeight="12.75"/>
  <sheetData>
    <row r="2" spans="1:2" ht="12">
      <c r="A2">
        <f>DESIGN!A129</f>
        <v>0</v>
      </c>
      <c r="B2">
        <f>DESIGN!O129</f>
        <v>0</v>
      </c>
    </row>
    <row r="3" spans="1:2" ht="12">
      <c r="A3">
        <f>DESIGN!A130</f>
        <v>1</v>
      </c>
      <c r="B3">
        <f>DESIGN!O130</f>
        <v>-0.16636509751479278</v>
      </c>
    </row>
    <row r="4" spans="1:2" ht="12">
      <c r="A4">
        <f>DESIGN!A131</f>
        <v>2</v>
      </c>
      <c r="B4">
        <f>DESIGN!O131</f>
        <v>-0.41231239189708324</v>
      </c>
    </row>
    <row r="5" spans="1:2" ht="12">
      <c r="A5">
        <f>DESIGN!A132</f>
        <v>3</v>
      </c>
      <c r="B5">
        <f>DESIGN!O132</f>
        <v>-0.3035535500911788</v>
      </c>
    </row>
    <row r="6" spans="1:2" ht="12">
      <c r="A6">
        <f>DESIGN!A133</f>
        <v>4</v>
      </c>
      <c r="B6">
        <f>DESIGN!O133</f>
        <v>0.12158584091068217</v>
      </c>
    </row>
    <row r="7" spans="1:2" ht="12">
      <c r="A7">
        <f>DESIGN!A134</f>
        <v>5</v>
      </c>
      <c r="B7">
        <f>DESIGN!O134</f>
        <v>0.5470145386874294</v>
      </c>
    </row>
    <row r="8" spans="1:2" ht="12">
      <c r="A8">
        <f>DESIGN!A135</f>
        <v>6</v>
      </c>
      <c r="B8">
        <f>DESIGN!O135</f>
        <v>0.6245991785904618</v>
      </c>
    </row>
    <row r="9" spans="1:2" ht="12">
      <c r="A9">
        <f>DESIGN!A136</f>
        <v>7</v>
      </c>
      <c r="B9">
        <f>DESIGN!O136</f>
        <v>0.2370182731651013</v>
      </c>
    </row>
    <row r="10" spans="1:2" ht="12">
      <c r="A10">
        <f>DESIGN!A137</f>
        <v>8</v>
      </c>
      <c r="B10">
        <f>DESIGN!O137</f>
        <v>-0.30185996148329547</v>
      </c>
    </row>
    <row r="11" spans="1:2" ht="12">
      <c r="A11">
        <f>DESIGN!A138</f>
        <v>9</v>
      </c>
      <c r="B11">
        <f>DESIGN!O138</f>
        <v>-0.34612683036732145</v>
      </c>
    </row>
    <row r="12" spans="1:2" ht="12">
      <c r="A12">
        <f>DESIGN!A139</f>
        <v>10</v>
      </c>
      <c r="B12">
        <f>DESIGN!O139</f>
        <v>0</v>
      </c>
    </row>
    <row r="29" ht="12">
      <c r="C29" t="s">
        <v>176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ltg</cp:lastModifiedBy>
  <cp:lastPrinted>1999-06-18T17:24:45Z</cp:lastPrinted>
  <dcterms:created xsi:type="dcterms:W3CDTF">1999-06-18T16:14:43Z</dcterms:created>
  <dcterms:modified xsi:type="dcterms:W3CDTF">2006-07-26T15:37:57Z</dcterms:modified>
  <cp:category/>
  <cp:version/>
  <cp:contentType/>
  <cp:contentStatus/>
</cp:coreProperties>
</file>