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53222"/>
  <mc:AlternateContent xmlns:mc="http://schemas.openxmlformats.org/markup-compatibility/2006">
    <mc:Choice Requires="x15">
      <x15ac:absPath xmlns:x15ac="http://schemas.microsoft.com/office/spreadsheetml/2010/11/ac" url="I:\Gilbert Modified VBA Excel Spreadsheets\"/>
    </mc:Choice>
  </mc:AlternateContent>
  <bookViews>
    <workbookView xWindow="-15" yWindow="-15" windowWidth="6585" windowHeight="7785"/>
  </bookViews>
  <sheets>
    <sheet name="Sheeting" sheetId="1" r:id="rId1"/>
    <sheet name="Graph" sheetId="2" r:id="rId2"/>
  </sheets>
  <definedNames>
    <definedName name="_Regression_Int" localSheetId="0" hidden="1">1</definedName>
    <definedName name="AdistExit">Sheeting!$B$34</definedName>
    <definedName name="AJdistExit">Sheeting!$H$34</definedName>
    <definedName name="AMdistExit">Sheeting!$B$34</definedName>
    <definedName name="JarmRadius">Sheeting!$H$32</definedName>
    <definedName name="JdistExit">Sheeting!$H$33</definedName>
    <definedName name="MarmRadius">Sheeting!$B$32</definedName>
    <definedName name="MdistExit">Sheeting!$B$33</definedName>
  </definedNames>
  <calcPr calcId="152511"/>
</workbook>
</file>

<file path=xl/calcChain.xml><?xml version="1.0" encoding="utf-8"?>
<calcChain xmlns="http://schemas.openxmlformats.org/spreadsheetml/2006/main">
  <c r="A3" i="2" l="1"/>
  <c r="A4" i="2"/>
  <c r="A5" i="2"/>
  <c r="A6" i="2"/>
  <c r="A7" i="2"/>
  <c r="A8" i="2"/>
  <c r="A9" i="2"/>
  <c r="A10" i="2"/>
  <c r="A11" i="2"/>
  <c r="A12" i="2"/>
  <c r="A13" i="2"/>
  <c r="A14" i="2"/>
  <c r="A15" i="2"/>
  <c r="A16" i="2"/>
  <c r="A17" i="2"/>
  <c r="A18" i="2"/>
  <c r="A19" i="2"/>
  <c r="A20" i="2"/>
  <c r="A21" i="2"/>
  <c r="A22" i="2"/>
  <c r="A23" i="2"/>
  <c r="B25" i="2"/>
  <c r="C25" i="2"/>
  <c r="B26" i="2"/>
  <c r="C26" i="2"/>
  <c r="B27" i="2"/>
  <c r="C27" i="2"/>
  <c r="E20" i="1"/>
  <c r="E21" i="1"/>
  <c r="B22" i="1"/>
  <c r="E22" i="1"/>
  <c r="E23" i="1"/>
  <c r="E24" i="1"/>
  <c r="H24" i="1"/>
  <c r="N25" i="1"/>
  <c r="O25" i="1"/>
  <c r="P25" i="1"/>
  <c r="N26" i="1"/>
  <c r="O26" i="1"/>
  <c r="P26" i="1"/>
  <c r="N27" i="1"/>
  <c r="O27" i="1"/>
  <c r="P27" i="1"/>
  <c r="N28" i="1"/>
  <c r="O28" i="1"/>
  <c r="P28" i="1"/>
  <c r="P30" i="1" s="1"/>
  <c r="N29" i="1"/>
  <c r="O29" i="1"/>
  <c r="O30" i="1" s="1"/>
  <c r="P29" i="1"/>
  <c r="N30" i="1"/>
  <c r="K22" i="1" s="1"/>
  <c r="K23" i="1" s="1"/>
  <c r="D35" i="1"/>
  <c r="D36" i="1"/>
  <c r="B39" i="1"/>
  <c r="H39" i="1"/>
  <c r="I39" i="1"/>
  <c r="J39" i="1" s="1"/>
  <c r="K39" i="1"/>
  <c r="B40" i="1"/>
  <c r="H40" i="1"/>
  <c r="B41" i="1"/>
  <c r="C41" i="1"/>
  <c r="D41" i="1" s="1"/>
  <c r="E41" i="1" s="1"/>
  <c r="F41" i="1" s="1"/>
  <c r="B5" i="2" s="1"/>
  <c r="H41" i="1"/>
  <c r="I41" i="1"/>
  <c r="J41" i="1" s="1"/>
  <c r="K41" i="1" s="1"/>
  <c r="B42" i="1"/>
  <c r="C42" i="1" s="1"/>
  <c r="D42" i="1" s="1"/>
  <c r="E42" i="1" s="1"/>
  <c r="F42" i="1"/>
  <c r="B6" i="2" s="1"/>
  <c r="H42" i="1"/>
  <c r="B43" i="1"/>
  <c r="H43" i="1"/>
  <c r="I43" i="1"/>
  <c r="J43" i="1" s="1"/>
  <c r="K43" i="1" s="1"/>
  <c r="B44" i="1"/>
  <c r="H44" i="1"/>
  <c r="B45" i="1"/>
  <c r="C45" i="1"/>
  <c r="D45" i="1" s="1"/>
  <c r="E45" i="1" s="1"/>
  <c r="F45" i="1" s="1"/>
  <c r="B9" i="2" s="1"/>
  <c r="H45" i="1"/>
  <c r="I45" i="1"/>
  <c r="J45" i="1" s="1"/>
  <c r="K45" i="1" s="1"/>
  <c r="B46" i="1"/>
  <c r="C46" i="1" s="1"/>
  <c r="D46" i="1" s="1"/>
  <c r="E46" i="1" s="1"/>
  <c r="F46" i="1" s="1"/>
  <c r="B10" i="2" s="1"/>
  <c r="H46" i="1"/>
  <c r="B47" i="1"/>
  <c r="H47" i="1"/>
  <c r="I47" i="1"/>
  <c r="J47" i="1" s="1"/>
  <c r="K47" i="1" s="1"/>
  <c r="B48" i="1"/>
  <c r="H48" i="1"/>
  <c r="I48" i="1"/>
  <c r="J48" i="1"/>
  <c r="K48" i="1" s="1"/>
  <c r="B49" i="1"/>
  <c r="C49" i="1"/>
  <c r="D49" i="1" s="1"/>
  <c r="E49" i="1" s="1"/>
  <c r="F49" i="1" s="1"/>
  <c r="B13" i="2" s="1"/>
  <c r="H49" i="1"/>
  <c r="I49" i="1"/>
  <c r="J49" i="1" s="1"/>
  <c r="K49" i="1" s="1"/>
  <c r="B50" i="1"/>
  <c r="C50" i="1" s="1"/>
  <c r="D50" i="1" s="1"/>
  <c r="E50" i="1" s="1"/>
  <c r="F50" i="1" s="1"/>
  <c r="B14" i="2" s="1"/>
  <c r="H50" i="1"/>
  <c r="I50" i="1"/>
  <c r="J50" i="1"/>
  <c r="K50" i="1" s="1"/>
  <c r="B51" i="1"/>
  <c r="C51" i="1"/>
  <c r="D51" i="1" s="1"/>
  <c r="E51" i="1" s="1"/>
  <c r="F51" i="1" s="1"/>
  <c r="B15" i="2" s="1"/>
  <c r="H51" i="1"/>
  <c r="I51" i="1"/>
  <c r="J51" i="1" s="1"/>
  <c r="K51" i="1" s="1"/>
  <c r="B52" i="1"/>
  <c r="C52" i="1" s="1"/>
  <c r="D52" i="1" s="1"/>
  <c r="E52" i="1" s="1"/>
  <c r="F52" i="1" s="1"/>
  <c r="B16" i="2" s="1"/>
  <c r="H52" i="1"/>
  <c r="I52" i="1"/>
  <c r="J52" i="1"/>
  <c r="K52" i="1" s="1"/>
  <c r="B53" i="1"/>
  <c r="C53" i="1"/>
  <c r="D53" i="1" s="1"/>
  <c r="E53" i="1" s="1"/>
  <c r="F53" i="1" s="1"/>
  <c r="B17" i="2" s="1"/>
  <c r="H53" i="1"/>
  <c r="I53" i="1"/>
  <c r="J53" i="1" s="1"/>
  <c r="K53" i="1" s="1"/>
  <c r="B54" i="1"/>
  <c r="C54" i="1" s="1"/>
  <c r="D54" i="1" s="1"/>
  <c r="E54" i="1" s="1"/>
  <c r="F54" i="1" s="1"/>
  <c r="B18" i="2" s="1"/>
  <c r="H54" i="1"/>
  <c r="I54" i="1"/>
  <c r="J54" i="1"/>
  <c r="K54" i="1" s="1"/>
  <c r="B55" i="1"/>
  <c r="C55" i="1"/>
  <c r="D55" i="1" s="1"/>
  <c r="E55" i="1" s="1"/>
  <c r="F55" i="1" s="1"/>
  <c r="B19" i="2" s="1"/>
  <c r="H55" i="1"/>
  <c r="I55" i="1"/>
  <c r="J55" i="1" s="1"/>
  <c r="K55" i="1" s="1"/>
  <c r="B56" i="1"/>
  <c r="C56" i="1" s="1"/>
  <c r="D56" i="1" s="1"/>
  <c r="E56" i="1" s="1"/>
  <c r="F56" i="1" s="1"/>
  <c r="B20" i="2" s="1"/>
  <c r="H56" i="1"/>
  <c r="I56" i="1"/>
  <c r="J56" i="1"/>
  <c r="K56" i="1" s="1"/>
  <c r="B57" i="1"/>
  <c r="C57" i="1"/>
  <c r="D57" i="1" s="1"/>
  <c r="E57" i="1" s="1"/>
  <c r="F57" i="1" s="1"/>
  <c r="B21" i="2" s="1"/>
  <c r="H57" i="1"/>
  <c r="I57" i="1"/>
  <c r="J57" i="1"/>
  <c r="K57" i="1" s="1"/>
  <c r="B58" i="1"/>
  <c r="C58" i="1"/>
  <c r="D58" i="1" s="1"/>
  <c r="E58" i="1" s="1"/>
  <c r="F58" i="1" s="1"/>
  <c r="B22" i="2" s="1"/>
  <c r="H58" i="1"/>
  <c r="I58" i="1"/>
  <c r="J58" i="1" s="1"/>
  <c r="K58" i="1" s="1"/>
  <c r="B59" i="1"/>
  <c r="C59" i="1" s="1"/>
  <c r="D59" i="1" s="1"/>
  <c r="E59" i="1" s="1"/>
  <c r="F59" i="1" s="1"/>
  <c r="B23" i="2" s="1"/>
  <c r="H59" i="1"/>
  <c r="I59" i="1"/>
  <c r="J59" i="1"/>
  <c r="K59" i="1" s="1"/>
  <c r="C39" i="1" l="1"/>
  <c r="D39" i="1" s="1"/>
  <c r="E39" i="1" s="1"/>
  <c r="F39" i="1" s="1"/>
  <c r="C43" i="1"/>
  <c r="D43" i="1" s="1"/>
  <c r="E43" i="1" s="1"/>
  <c r="F43" i="1" s="1"/>
  <c r="B7" i="2" s="1"/>
  <c r="C47" i="1"/>
  <c r="D47" i="1" s="1"/>
  <c r="E47" i="1" s="1"/>
  <c r="F47" i="1" s="1"/>
  <c r="B11" i="2" s="1"/>
  <c r="K21" i="1"/>
  <c r="K25" i="1" s="1"/>
  <c r="K20" i="1"/>
  <c r="C48" i="1"/>
  <c r="D48" i="1" s="1"/>
  <c r="E48" i="1" s="1"/>
  <c r="F48" i="1" s="1"/>
  <c r="B12" i="2" s="1"/>
  <c r="C44" i="1"/>
  <c r="D44" i="1" s="1"/>
  <c r="E44" i="1" s="1"/>
  <c r="F44" i="1" s="1"/>
  <c r="B8" i="2" s="1"/>
  <c r="C40" i="1"/>
  <c r="D40" i="1" s="1"/>
  <c r="E40" i="1" s="1"/>
  <c r="F40" i="1" s="1"/>
  <c r="B4" i="2" s="1"/>
  <c r="I40" i="1"/>
  <c r="J40" i="1" s="1"/>
  <c r="K40" i="1" s="1"/>
  <c r="I42" i="1"/>
  <c r="J42" i="1" s="1"/>
  <c r="K42" i="1" s="1"/>
  <c r="I44" i="1"/>
  <c r="J44" i="1" s="1"/>
  <c r="K44" i="1" s="1"/>
  <c r="I46" i="1"/>
  <c r="J46" i="1" s="1"/>
  <c r="K46" i="1" s="1"/>
  <c r="K26" i="1" l="1"/>
  <c r="K24" i="1"/>
  <c r="B3" i="2"/>
  <c r="G40" i="1"/>
  <c r="G42" i="1"/>
  <c r="G44" i="1"/>
  <c r="G46" i="1"/>
  <c r="G39" i="1"/>
  <c r="G43" i="1"/>
  <c r="G47" i="1"/>
  <c r="G48" i="1"/>
  <c r="G50" i="1"/>
  <c r="G52" i="1"/>
  <c r="G54" i="1"/>
  <c r="G56" i="1"/>
  <c r="G41" i="1"/>
  <c r="G45" i="1"/>
  <c r="G57" i="1"/>
  <c r="G59" i="1"/>
  <c r="G49" i="1"/>
  <c r="G51" i="1"/>
  <c r="G53" i="1"/>
  <c r="G55" i="1"/>
  <c r="G58" i="1"/>
  <c r="L39" i="1" l="1"/>
  <c r="M39" i="1" s="1"/>
  <c r="L41" i="1"/>
  <c r="M41" i="1" s="1"/>
  <c r="L43" i="1"/>
  <c r="M43" i="1" s="1"/>
  <c r="L45" i="1"/>
  <c r="M45" i="1" s="1"/>
  <c r="L47" i="1"/>
  <c r="M47" i="1" s="1"/>
  <c r="L42" i="1"/>
  <c r="M42" i="1" s="1"/>
  <c r="L46" i="1"/>
  <c r="M46" i="1" s="1"/>
  <c r="L49" i="1"/>
  <c r="M49" i="1" s="1"/>
  <c r="L51" i="1"/>
  <c r="M51" i="1" s="1"/>
  <c r="L53" i="1"/>
  <c r="M53" i="1" s="1"/>
  <c r="L55" i="1"/>
  <c r="M55" i="1" s="1"/>
  <c r="L40" i="1"/>
  <c r="M40" i="1" s="1"/>
  <c r="L44" i="1"/>
  <c r="M44" i="1" s="1"/>
  <c r="L58" i="1"/>
  <c r="M58" i="1" s="1"/>
  <c r="L48" i="1"/>
  <c r="M48" i="1" s="1"/>
  <c r="L50" i="1"/>
  <c r="M50" i="1" s="1"/>
  <c r="L52" i="1"/>
  <c r="M52" i="1" s="1"/>
  <c r="L54" i="1"/>
  <c r="M54" i="1" s="1"/>
  <c r="L56" i="1"/>
  <c r="M56" i="1" s="1"/>
  <c r="L57" i="1"/>
  <c r="M57" i="1" s="1"/>
  <c r="L59" i="1"/>
  <c r="M59" i="1" s="1"/>
  <c r="C23" i="2" l="1"/>
  <c r="O59" i="1"/>
  <c r="P59" i="1" s="1"/>
  <c r="C20" i="2"/>
  <c r="O56" i="1"/>
  <c r="P56" i="1" s="1"/>
  <c r="C16" i="2"/>
  <c r="O52" i="1"/>
  <c r="P52" i="1" s="1"/>
  <c r="C12" i="2"/>
  <c r="O48" i="1"/>
  <c r="P48" i="1" s="1"/>
  <c r="C8" i="2"/>
  <c r="O44" i="1"/>
  <c r="P44" i="1" s="1"/>
  <c r="C19" i="2"/>
  <c r="O55" i="1"/>
  <c r="P55" i="1" s="1"/>
  <c r="C15" i="2"/>
  <c r="O51" i="1"/>
  <c r="P51" i="1" s="1"/>
  <c r="C10" i="2"/>
  <c r="O46" i="1"/>
  <c r="P46" i="1" s="1"/>
  <c r="C11" i="2"/>
  <c r="O47" i="1"/>
  <c r="P47" i="1" s="1"/>
  <c r="C7" i="2"/>
  <c r="O43" i="1"/>
  <c r="P43" i="1" s="1"/>
  <c r="N39" i="1"/>
  <c r="N41" i="1"/>
  <c r="N43" i="1"/>
  <c r="N45" i="1"/>
  <c r="N47" i="1"/>
  <c r="N40" i="1"/>
  <c r="N44" i="1"/>
  <c r="N49" i="1"/>
  <c r="N51" i="1"/>
  <c r="N53" i="1"/>
  <c r="N55" i="1"/>
  <c r="C3" i="2"/>
  <c r="O39" i="1"/>
  <c r="P39" i="1" s="1"/>
  <c r="N42" i="1"/>
  <c r="N46" i="1"/>
  <c r="N48" i="1"/>
  <c r="N50" i="1"/>
  <c r="N52" i="1"/>
  <c r="N54" i="1"/>
  <c r="N56" i="1"/>
  <c r="N58" i="1"/>
  <c r="N57" i="1"/>
  <c r="N59" i="1"/>
  <c r="C21" i="2"/>
  <c r="O57" i="1"/>
  <c r="P57" i="1" s="1"/>
  <c r="C18" i="2"/>
  <c r="O54" i="1"/>
  <c r="P54" i="1" s="1"/>
  <c r="C14" i="2"/>
  <c r="O50" i="1"/>
  <c r="P50" i="1" s="1"/>
  <c r="C22" i="2"/>
  <c r="O58" i="1"/>
  <c r="P58" i="1" s="1"/>
  <c r="C4" i="2"/>
  <c r="O40" i="1"/>
  <c r="P40" i="1" s="1"/>
  <c r="C17" i="2"/>
  <c r="O53" i="1"/>
  <c r="P53" i="1" s="1"/>
  <c r="C13" i="2"/>
  <c r="O49" i="1"/>
  <c r="P49" i="1" s="1"/>
  <c r="C6" i="2"/>
  <c r="O42" i="1"/>
  <c r="P42" i="1" s="1"/>
  <c r="O45" i="1"/>
  <c r="P45" i="1" s="1"/>
  <c r="C9" i="2"/>
  <c r="O41" i="1"/>
  <c r="P41" i="1" s="1"/>
  <c r="C5" i="2"/>
</calcChain>
</file>

<file path=xl/sharedStrings.xml><?xml version="1.0" encoding="utf-8"?>
<sst xmlns="http://schemas.openxmlformats.org/spreadsheetml/2006/main" count="98" uniqueCount="60">
  <si>
    <t>ARM WINCH SHEETING CALCULATOR</t>
  </si>
  <si>
    <t>Main boom measurements</t>
  </si>
  <si>
    <t>Jib boom measurements</t>
  </si>
  <si>
    <t>Rig</t>
  </si>
  <si>
    <t>R:</t>
  </si>
  <si>
    <t xml:space="preserve"> mm</t>
  </si>
  <si>
    <t>R^2:</t>
  </si>
  <si>
    <t>Rig#:</t>
  </si>
  <si>
    <t>r:</t>
  </si>
  <si>
    <t>F:</t>
  </si>
  <si>
    <t>P^2:</t>
  </si>
  <si>
    <t>f:</t>
  </si>
  <si>
    <t>Luff</t>
  </si>
  <si>
    <t>Diff:</t>
  </si>
  <si>
    <t>2P:</t>
  </si>
  <si>
    <t>h:</t>
  </si>
  <si>
    <t>Leech</t>
  </si>
  <si>
    <t>Ht:</t>
  </si>
  <si>
    <t>Ht^2:</t>
  </si>
  <si>
    <t>Foot</t>
  </si>
  <si>
    <t>Incr:</t>
  </si>
  <si>
    <t xml:space="preserve"> deg</t>
  </si>
  <si>
    <t>Adj:</t>
  </si>
  <si>
    <t>r^2:</t>
  </si>
  <si>
    <t>Offset</t>
  </si>
  <si>
    <t>Start:</t>
  </si>
  <si>
    <t>f^2:</t>
  </si>
  <si>
    <t>Off%</t>
  </si>
  <si>
    <t>Base:</t>
  </si>
  <si>
    <t>degrees</t>
  </si>
  <si>
    <t>2rf:</t>
  </si>
  <si>
    <t>Tack</t>
  </si>
  <si>
    <t>Clew</t>
  </si>
  <si>
    <t>P.luff</t>
  </si>
  <si>
    <t>P.foot</t>
  </si>
  <si>
    <t>(Note:  The button macros will fail if you insert or delete rows or columns.)</t>
  </si>
  <si>
    <t>Pivot</t>
  </si>
  <si>
    <t>Mr</t>
  </si>
  <si>
    <t>mm</t>
  </si>
  <si>
    <t>Jr</t>
  </si>
  <si>
    <t>Me</t>
  </si>
  <si>
    <t>Je</t>
  </si>
  <si>
    <t>Ame</t>
  </si>
  <si>
    <t>Aje</t>
  </si>
  <si>
    <t>Calc arm angle:</t>
  </si>
  <si>
    <t>degrees wrt main take-off</t>
  </si>
  <si>
    <t>degrees wrt jib take-off</t>
  </si>
  <si>
    <t>Step</t>
  </si>
  <si>
    <t>Feed</t>
  </si>
  <si>
    <t>EF</t>
  </si>
  <si>
    <t>X</t>
  </si>
  <si>
    <t>MSA</t>
  </si>
  <si>
    <t>Flag</t>
  </si>
  <si>
    <t>JSA</t>
  </si>
  <si>
    <t>Diff</t>
  </si>
  <si>
    <t>%</t>
  </si>
  <si>
    <t>R</t>
  </si>
  <si>
    <t>Max main sheeting angle</t>
  </si>
  <si>
    <t>F</t>
  </si>
  <si>
    <t>Ht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</si>
</sst>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_)"/>
    <numFmt numFmtId="166" formatCode="0_)"/>
    <numFmt numFmtId="167" formatCode="0.0"/>
  </numFmts>
  <fonts count="8" x14ac:knownFonts="1">
    <font>
      <sz val="10"/>
      <name val="Courier"/>
    </font>
    <font>
      <b/>
      <sz val="10"/>
      <name val="Arial"/>
    </font>
    <font>
      <sz val="10"/>
      <color indexed="8"/>
      <name val="Courier"/>
      <family val="3"/>
    </font>
    <font>
      <sz val="10"/>
      <color indexed="10"/>
      <name val="Courier"/>
      <family val="3"/>
    </font>
    <font>
      <sz val="10"/>
      <color indexed="12"/>
      <name val="Courier"/>
      <family val="3"/>
    </font>
    <font>
      <sz val="10"/>
      <color indexed="50"/>
      <name val="Courier"/>
      <family val="3"/>
    </font>
    <font>
      <sz val="10"/>
      <color rgb="FF000000"/>
      <name val="Courier"/>
    </font>
    <font>
      <sz val="10"/>
      <color rgb="FF0000FF"/>
      <name val="Courier"/>
    </font>
  </fonts>
  <fills count="5">
    <fill>
      <patternFill patternType="none"/>
    </fill>
    <fill>
      <patternFill patternType="gray125"/>
    </fill>
    <fill>
      <patternFill patternType="solid">
        <fgColor indexed="10"/>
        <bgColor indexed="64"/>
      </patternFill>
    </fill>
    <fill>
      <patternFill patternType="solid">
        <fgColor indexed="13"/>
        <bgColor indexed="64"/>
      </patternFill>
    </fill>
    <fill>
      <patternFill patternType="solid">
        <fgColor indexed="42"/>
        <bgColor indexed="64"/>
      </patternFill>
    </fill>
  </fills>
  <borders count="1">
    <border>
      <left/>
      <right/>
      <top/>
      <bottom/>
      <diagonal/>
    </border>
  </borders>
  <cellStyleXfs count="1">
    <xf numFmtId="0" fontId="0" fillId="0" borderId="0"/>
  </cellStyleXfs>
  <cellXfs count="25">
    <xf numFmtId="0" fontId="0" fillId="0" borderId="0" xfId="0"/>
    <xf numFmtId="0" fontId="0" fillId="0" borderId="0" xfId="0" applyAlignment="1" applyProtection="1">
      <alignment horizontal="left"/>
    </xf>
    <xf numFmtId="0" fontId="0" fillId="0" borderId="0" xfId="0" applyAlignment="1" applyProtection="1">
      <alignment horizontal="right"/>
    </xf>
    <xf numFmtId="0" fontId="0" fillId="0" borderId="0" xfId="0" applyProtection="1"/>
    <xf numFmtId="164" fontId="0" fillId="0" borderId="0" xfId="0" applyNumberFormat="1" applyProtection="1"/>
    <xf numFmtId="165" fontId="0" fillId="0" borderId="0" xfId="0" applyNumberFormat="1" applyProtection="1"/>
    <xf numFmtId="166" fontId="0" fillId="0" borderId="0" xfId="0" applyNumberFormat="1" applyProtection="1"/>
    <xf numFmtId="9" fontId="0" fillId="0" borderId="0" xfId="0" applyNumberFormat="1" applyProtection="1"/>
    <xf numFmtId="0" fontId="0" fillId="2" borderId="0" xfId="0" applyFill="1" applyProtection="1"/>
    <xf numFmtId="0" fontId="0" fillId="0" borderId="0" xfId="0" applyAlignment="1">
      <alignment horizontal="right"/>
    </xf>
    <xf numFmtId="0" fontId="2" fillId="0" borderId="0" xfId="0" applyFont="1" applyAlignment="1" applyProtection="1">
      <alignment horizontal="right"/>
      <protection locked="0"/>
    </xf>
    <xf numFmtId="0" fontId="2" fillId="0" borderId="0" xfId="0" applyFont="1" applyProtection="1">
      <protection locked="0"/>
    </xf>
    <xf numFmtId="0" fontId="2" fillId="0" borderId="0" xfId="0" applyFont="1"/>
    <xf numFmtId="0" fontId="3" fillId="0" borderId="0" xfId="0" applyFont="1" applyProtection="1"/>
    <xf numFmtId="0" fontId="0" fillId="3" borderId="0" xfId="0" applyFill="1" applyProtection="1"/>
    <xf numFmtId="0" fontId="1" fillId="0" borderId="0" xfId="0" applyFont="1" applyAlignment="1">
      <alignment horizontal="right"/>
    </xf>
    <xf numFmtId="167" fontId="0" fillId="0" borderId="0" xfId="0" applyNumberFormat="1"/>
    <xf numFmtId="0" fontId="0" fillId="2" borderId="0" xfId="0" applyFill="1"/>
    <xf numFmtId="0" fontId="4" fillId="0" borderId="0" xfId="0" applyFont="1" applyAlignment="1" applyProtection="1">
      <alignment horizontal="right"/>
    </xf>
    <xf numFmtId="0" fontId="4" fillId="0" borderId="0" xfId="0" applyFont="1" applyFill="1" applyProtection="1"/>
    <xf numFmtId="0" fontId="5" fillId="0" borderId="0" xfId="0" applyFont="1" applyAlignment="1" applyProtection="1">
      <alignment horizontal="right"/>
    </xf>
    <xf numFmtId="0" fontId="5" fillId="0" borderId="0" xfId="0" applyFont="1" applyProtection="1"/>
    <xf numFmtId="165" fontId="0" fillId="0" borderId="0" xfId="0" applyNumberFormat="1" applyAlignment="1" applyProtection="1">
      <alignment horizontal="right"/>
    </xf>
    <xf numFmtId="1" fontId="0" fillId="2" borderId="0" xfId="0" applyNumberFormat="1" applyFill="1" applyProtection="1"/>
    <xf numFmtId="167" fontId="0" fillId="4" borderId="0" xfId="0" applyNumberFormat="1" applyFill="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Sheeting angles</a:t>
            </a:r>
          </a:p>
        </c:rich>
      </c:tx>
      <c:layout>
        <c:manualLayout>
          <c:xMode val="edge"/>
          <c:yMode val="edge"/>
          <c:x val="0.39527559055118111"/>
          <c:y val="7.2625797379371859E-2"/>
        </c:manualLayout>
      </c:layout>
      <c:overlay val="0"/>
      <c:spPr>
        <a:noFill/>
        <a:ln w="25400">
          <a:noFill/>
        </a:ln>
      </c:spPr>
    </c:title>
    <c:autoTitleDeleted val="0"/>
    <c:plotArea>
      <c:layout>
        <c:manualLayout>
          <c:layoutTarget val="inner"/>
          <c:xMode val="edge"/>
          <c:yMode val="edge"/>
          <c:x val="0.11023622047244094"/>
          <c:y val="0.15363149445636357"/>
          <c:w val="0.74015748031496065"/>
          <c:h val="0.68156517540641282"/>
        </c:manualLayout>
      </c:layout>
      <c:lineChart>
        <c:grouping val="standard"/>
        <c:varyColors val="0"/>
        <c:ser>
          <c:idx val="0"/>
          <c:order val="0"/>
          <c:tx>
            <c:strRef>
              <c:f>Graph!$B$2</c:f>
              <c:strCache>
                <c:ptCount val="1"/>
                <c:pt idx="0">
                  <c:v>MSA</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Graph!$A$3:$A$23</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Graph!$B$3:$B$23</c:f>
              <c:numCache>
                <c:formatCode>0.0</c:formatCode>
                <c:ptCount val="21"/>
                <c:pt idx="0">
                  <c:v>4.9996031333638147</c:v>
                </c:pt>
                <c:pt idx="1">
                  <c:v>8.4853615499449617</c:v>
                </c:pt>
                <c:pt idx="2">
                  <c:v>11.488491549208728</c:v>
                </c:pt>
                <c:pt idx="3">
                  <c:v>14.380595580654781</c:v>
                </c:pt>
                <c:pt idx="4">
                  <c:v>17.273747587800589</c:v>
                </c:pt>
                <c:pt idx="5">
                  <c:v>20.217290103171138</c:v>
                </c:pt>
                <c:pt idx="6">
                  <c:v>23.237062470494433</c:v>
                </c:pt>
                <c:pt idx="7">
                  <c:v>26.348098829951354</c:v>
                </c:pt>
                <c:pt idx="8">
                  <c:v>29.559866972874413</c:v>
                </c:pt>
                <c:pt idx="9">
                  <c:v>32.878795677006558</c:v>
                </c:pt>
                <c:pt idx="10">
                  <c:v>36.309644931968656</c:v>
                </c:pt>
                <c:pt idx="11">
                  <c:v>39.856326543249772</c:v>
                </c:pt>
                <c:pt idx="12">
                  <c:v>43.522445424815679</c:v>
                </c:pt>
                <c:pt idx="13">
                  <c:v>47.311695543370298</c:v>
                </c:pt>
                <c:pt idx="14">
                  <c:v>51.228184357665597</c:v>
                </c:pt>
                <c:pt idx="15">
                  <c:v>55.276732015001969</c:v>
                </c:pt>
                <c:pt idx="16">
                  <c:v>59.463179658670398</c:v>
                </c:pt>
                <c:pt idx="17">
                  <c:v>63.79473822965533</c:v>
                </c:pt>
                <c:pt idx="18">
                  <c:v>68.280412843707239</c:v>
                </c:pt>
                <c:pt idx="19">
                  <c:v>72.931548517038607</c:v>
                </c:pt>
                <c:pt idx="20">
                  <c:v>77.762563442300703</c:v>
                </c:pt>
              </c:numCache>
            </c:numRef>
          </c:val>
          <c:smooth val="1"/>
        </c:ser>
        <c:ser>
          <c:idx val="1"/>
          <c:order val="1"/>
          <c:tx>
            <c:strRef>
              <c:f>Graph!$C$2</c:f>
              <c:strCache>
                <c:ptCount val="1"/>
                <c:pt idx="0">
                  <c:v>JSA</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Graph!$A$3:$A$23</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Graph!$C$3:$C$23</c:f>
              <c:numCache>
                <c:formatCode>0.0</c:formatCode>
                <c:ptCount val="21"/>
                <c:pt idx="0">
                  <c:v>14.999998626528766</c:v>
                </c:pt>
                <c:pt idx="1">
                  <c:v>16.822432634106889</c:v>
                </c:pt>
                <c:pt idx="2">
                  <c:v>18.779334385748985</c:v>
                </c:pt>
                <c:pt idx="3">
                  <c:v>20.869869446676137</c:v>
                </c:pt>
                <c:pt idx="4">
                  <c:v>23.093085603709952</c:v>
                </c:pt>
                <c:pt idx="5">
                  <c:v>25.447946025503114</c:v>
                </c:pt>
                <c:pt idx="6">
                  <c:v>27.933374984107104</c:v>
                </c:pt>
                <c:pt idx="7">
                  <c:v>30.548308095251489</c:v>
                </c:pt>
                <c:pt idx="8">
                  <c:v>33.291742380186925</c:v>
                </c:pt>
                <c:pt idx="9">
                  <c:v>36.162783062784392</c:v>
                </c:pt>
                <c:pt idx="10">
                  <c:v>39.160684373890291</c:v>
                </c:pt>
                <c:pt idx="11">
                  <c:v>42.284880858028956</c:v>
                </c:pt>
                <c:pt idx="12">
                  <c:v>45.53500350129486</c:v>
                </c:pt>
                <c:pt idx="13">
                  <c:v>48.910870619171689</c:v>
                </c:pt>
                <c:pt idx="14">
                  <c:v>52.412435086563065</c:v>
                </c:pt>
                <c:pt idx="15">
                  <c:v>56.039653413284384</c:v>
                </c:pt>
                <c:pt idx="16">
                  <c:v>59.792210278119946</c:v>
                </c:pt>
                <c:pt idx="17">
                  <c:v>63.668966194668293</c:v>
                </c:pt>
                <c:pt idx="18">
                  <c:v>67.666852541511432</c:v>
                </c:pt>
                <c:pt idx="19">
                  <c:v>71.778606906911762</c:v>
                </c:pt>
                <c:pt idx="20">
                  <c:v>75.98792174471599</c:v>
                </c:pt>
              </c:numCache>
            </c:numRef>
          </c:val>
          <c:smooth val="1"/>
        </c:ser>
        <c:dLbls>
          <c:showLegendKey val="0"/>
          <c:showVal val="0"/>
          <c:showCatName val="0"/>
          <c:showSerName val="0"/>
          <c:showPercent val="0"/>
          <c:showBubbleSize val="0"/>
        </c:dLbls>
        <c:marker val="1"/>
        <c:smooth val="0"/>
        <c:axId val="435391256"/>
        <c:axId val="435386944"/>
      </c:lineChart>
      <c:catAx>
        <c:axId val="435391256"/>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Step</a:t>
                </a:r>
              </a:p>
            </c:rich>
          </c:tx>
          <c:layout>
            <c:manualLayout>
              <c:xMode val="edge"/>
              <c:yMode val="edge"/>
              <c:x val="0.80944881889763776"/>
              <c:y val="0.91061576714135484"/>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5386944"/>
        <c:crosses val="autoZero"/>
        <c:auto val="0"/>
        <c:lblAlgn val="ctr"/>
        <c:lblOffset val="100"/>
        <c:tickLblSkip val="1"/>
        <c:tickMarkSkip val="1"/>
        <c:noMultiLvlLbl val="0"/>
      </c:catAx>
      <c:valAx>
        <c:axId val="435386944"/>
        <c:scaling>
          <c:orientation val="minMax"/>
          <c:max val="100"/>
        </c:scaling>
        <c:delete val="0"/>
        <c:axPos val="l"/>
        <c:title>
          <c:tx>
            <c:rich>
              <a:bodyPr rot="0" vert="horz"/>
              <a:lstStyle/>
              <a:p>
                <a:pPr algn="ctr">
                  <a:defRPr sz="800" b="1" i="0" u="none" strike="noStrike" baseline="0">
                    <a:solidFill>
                      <a:srgbClr val="000000"/>
                    </a:solidFill>
                    <a:latin typeface="Arial"/>
                    <a:ea typeface="Arial"/>
                    <a:cs typeface="Arial"/>
                  </a:defRPr>
                </a:pPr>
                <a:r>
                  <a:rPr lang="en-US"/>
                  <a:t>Degrees</a:t>
                </a:r>
              </a:p>
            </c:rich>
          </c:tx>
          <c:layout>
            <c:manualLayout>
              <c:xMode val="edge"/>
              <c:yMode val="edge"/>
              <c:x val="5.6692913385826771E-2"/>
              <c:y val="5.8659297883338811E-2"/>
            </c:manualLayout>
          </c:layout>
          <c:overlay val="0"/>
          <c:spPr>
            <a:noFill/>
            <a:ln w="25400">
              <a:noFill/>
            </a:ln>
          </c:spPr>
        </c:title>
        <c:numFmt formatCode="0.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5391256"/>
        <c:crosses val="autoZero"/>
        <c:crossBetween val="midCat"/>
      </c:valAx>
      <c:spPr>
        <a:solidFill>
          <a:srgbClr val="C0C0C0"/>
        </a:solidFill>
        <a:ln w="12700">
          <a:solidFill>
            <a:srgbClr val="808080"/>
          </a:solidFill>
          <a:prstDash val="solid"/>
        </a:ln>
      </c:spPr>
    </c:plotArea>
    <c:legend>
      <c:legendPos val="r"/>
      <c:legendEntry>
        <c:idx val="0"/>
        <c:txPr>
          <a:bodyPr/>
          <a:lstStyle/>
          <a:p>
            <a:pPr>
              <a:defRPr sz="735" b="0" i="0" u="none" strike="noStrike" baseline="0">
                <a:solidFill>
                  <a:srgbClr val="000000"/>
                </a:solidFill>
                <a:latin typeface="Arial"/>
                <a:ea typeface="Arial"/>
                <a:cs typeface="Arial"/>
              </a:defRPr>
            </a:pPr>
            <a:endParaRPr lang="en-US"/>
          </a:p>
        </c:txPr>
      </c:legendEntry>
      <c:legendEntry>
        <c:idx val="1"/>
        <c:txPr>
          <a:bodyPr/>
          <a:lstStyle/>
          <a:p>
            <a:pPr>
              <a:defRPr sz="735" b="0" i="0" u="none" strike="noStrike" baseline="0">
                <a:solidFill>
                  <a:srgbClr val="000000"/>
                </a:solidFill>
                <a:latin typeface="Arial"/>
                <a:ea typeface="Arial"/>
                <a:cs typeface="Arial"/>
              </a:defRPr>
            </a:pPr>
            <a:endParaRPr lang="en-US"/>
          </a:p>
        </c:txPr>
      </c:legendEntry>
      <c:layout>
        <c:manualLayout>
          <c:xMode val="edge"/>
          <c:yMode val="edge"/>
          <c:x val="0.16692913385826771"/>
          <c:y val="0.21787739213811558"/>
          <c:w val="9.6062992125984251E-2"/>
          <c:h val="0.1089386960690577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paperSize="9" orientation="landscape" horizontalDpi="300" verticalDpi="300"/>
  </c:printSettings>
  <c:userShapes r:id="rId1"/>
</c:chartSpace>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95250</xdr:colOff>
      <xdr:row>1</xdr:row>
      <xdr:rowOff>47625</xdr:rowOff>
    </xdr:from>
    <xdr:to>
      <xdr:col>6</xdr:col>
      <xdr:colOff>257175</xdr:colOff>
      <xdr:row>17</xdr:row>
      <xdr:rowOff>95250</xdr:rowOff>
    </xdr:to>
    <xdr:sp macro="" textlink="">
      <xdr:nvSpPr>
        <xdr:cNvPr id="1025" name="Text 1"/>
        <xdr:cNvSpPr txBox="1">
          <a:spLocks noChangeArrowheads="1"/>
        </xdr:cNvSpPr>
      </xdr:nvSpPr>
      <xdr:spPr bwMode="auto">
        <a:xfrm>
          <a:off x="95250" y="200025"/>
          <a:ext cx="3228975" cy="2486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prstDash val="solid"/>
          <a:miter lim="800000"/>
          <a:headEnd/>
          <a:tailEnd/>
        </a:ln>
      </xdr:spPr>
      <xdr:txBody>
        <a:bodyPr vertOverflow="clip" wrap="square" lIns="27432" tIns="22860" rIns="0" bIns="0" anchor="t" upright="1"/>
        <a:lstStyle/>
        <a:p>
          <a:pPr algn="l" rtl="0">
            <a:defRPr sz="1000"/>
          </a:pPr>
          <a:r>
            <a:rPr lang="en-US" sz="800" b="0" i="0" u="none" strike="noStrike" baseline="0">
              <a:solidFill>
                <a:srgbClr val="FF0000"/>
              </a:solidFill>
              <a:latin typeface="Arial"/>
              <a:cs typeface="Arial"/>
            </a:rPr>
            <a:t>Enter R, F, Ht values.  Enter M, J, A values.</a:t>
          </a:r>
        </a:p>
        <a:p>
          <a:pPr algn="l" rtl="0">
            <a:defRPr sz="1000"/>
          </a:pPr>
          <a:r>
            <a:rPr lang="en-US" sz="800" b="0" i="0" u="none" strike="noStrike" baseline="0">
              <a:solidFill>
                <a:srgbClr val="FF0000"/>
              </a:solidFill>
              <a:latin typeface="Arial"/>
              <a:cs typeface="Arial"/>
            </a:rPr>
            <a:t>(See Web page diagrams.)</a:t>
          </a:r>
          <a:endParaRPr lang="en-US" sz="800" b="0" i="0" u="none" strike="noStrike" baseline="0">
            <a:solidFill>
              <a:srgbClr val="000000"/>
            </a:solidFill>
            <a:latin typeface="Arial"/>
            <a:cs typeface="Arial"/>
          </a:endParaRPr>
        </a:p>
        <a:p>
          <a:pPr algn="l"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The </a:t>
          </a:r>
          <a:r>
            <a:rPr lang="en-US" sz="800" b="0" i="0" u="none" strike="noStrike" baseline="0">
              <a:solidFill>
                <a:srgbClr val="0000FF"/>
              </a:solidFill>
              <a:latin typeface="Arial"/>
              <a:cs typeface="Arial"/>
            </a:rPr>
            <a:t>"Start"</a:t>
          </a:r>
          <a:r>
            <a:rPr lang="en-US" sz="800" b="0" i="0" u="none" strike="noStrike" baseline="0">
              <a:solidFill>
                <a:srgbClr val="000000"/>
              </a:solidFill>
              <a:latin typeface="Arial"/>
              <a:cs typeface="Arial"/>
            </a:rPr>
            <a:t> values are "fudge factors" in order to have the main and jib sheeting angles start from the required </a:t>
          </a:r>
          <a:r>
            <a:rPr lang="en-US" sz="800" b="0" i="0" u="none" strike="noStrike" baseline="0">
              <a:solidFill>
                <a:srgbClr val="339933"/>
              </a:solidFill>
              <a:latin typeface="Arial"/>
              <a:cs typeface="Arial"/>
            </a:rPr>
            <a:t>"base"</a:t>
          </a:r>
          <a:r>
            <a:rPr lang="en-US" sz="800" b="0" i="0" u="none" strike="noStrike" baseline="0">
              <a:solidFill>
                <a:srgbClr val="000000"/>
              </a:solidFill>
              <a:latin typeface="Arial"/>
              <a:cs typeface="Arial"/>
            </a:rPr>
            <a:t> values.  You have to try a variety of </a:t>
          </a:r>
          <a:r>
            <a:rPr lang="en-US" sz="800" b="0" i="0" u="none" strike="noStrike" baseline="0">
              <a:solidFill>
                <a:srgbClr val="0000FF"/>
              </a:solidFill>
              <a:latin typeface="Arial"/>
              <a:cs typeface="Arial"/>
            </a:rPr>
            <a:t>"Start"</a:t>
          </a:r>
          <a:r>
            <a:rPr lang="en-US" sz="800" b="0" i="0" u="none" strike="noStrike" baseline="0">
              <a:solidFill>
                <a:srgbClr val="000000"/>
              </a:solidFill>
              <a:latin typeface="Arial"/>
              <a:cs typeface="Arial"/>
            </a:rPr>
            <a:t> values until you get the first (step 0) sheeting angle equal to its required </a:t>
          </a:r>
          <a:r>
            <a:rPr lang="en-US" sz="800" b="0" i="0" u="none" strike="noStrike" baseline="0">
              <a:solidFill>
                <a:srgbClr val="339933"/>
              </a:solidFill>
              <a:latin typeface="Arial"/>
              <a:cs typeface="Arial"/>
            </a:rPr>
            <a:t>"Base"</a:t>
          </a:r>
          <a:r>
            <a:rPr lang="en-US" sz="800" b="0" i="0" u="none" strike="noStrike" baseline="0">
              <a:solidFill>
                <a:srgbClr val="000000"/>
              </a:solidFill>
              <a:latin typeface="Arial"/>
              <a:cs typeface="Arial"/>
            </a:rPr>
            <a:t> value.  The MSA </a:t>
          </a:r>
          <a:r>
            <a:rPr lang="en-US" sz="800" b="0" i="0" u="none" strike="noStrike" baseline="0">
              <a:solidFill>
                <a:srgbClr val="339933"/>
              </a:solidFill>
              <a:latin typeface="Arial"/>
              <a:cs typeface="Arial"/>
            </a:rPr>
            <a:t>base</a:t>
          </a:r>
          <a:r>
            <a:rPr lang="en-US" sz="800" b="0" i="0" u="none" strike="noStrike" baseline="0">
              <a:solidFill>
                <a:srgbClr val="000000"/>
              </a:solidFill>
              <a:latin typeface="Arial"/>
              <a:cs typeface="Arial"/>
            </a:rPr>
            <a:t> is usually about 5, and the JSA </a:t>
          </a:r>
          <a:r>
            <a:rPr lang="en-US" sz="800" b="0" i="0" u="none" strike="noStrike" baseline="0">
              <a:solidFill>
                <a:srgbClr val="339933"/>
              </a:solidFill>
              <a:latin typeface="Arial"/>
              <a:cs typeface="Arial"/>
            </a:rPr>
            <a:t>base</a:t>
          </a:r>
          <a:r>
            <a:rPr lang="en-US" sz="800" b="0" i="0" u="none" strike="noStrike" baseline="0">
              <a:solidFill>
                <a:srgbClr val="000000"/>
              </a:solidFill>
              <a:latin typeface="Arial"/>
              <a:cs typeface="Arial"/>
            </a:rPr>
            <a:t> is usually about 15.  The main </a:t>
          </a:r>
          <a:r>
            <a:rPr lang="en-US" sz="800" b="0" i="0" u="none" strike="noStrike" baseline="0">
              <a:solidFill>
                <a:srgbClr val="0000FF"/>
              </a:solidFill>
              <a:latin typeface="Arial"/>
              <a:cs typeface="Arial"/>
            </a:rPr>
            <a:t>"Start" </a:t>
          </a:r>
          <a:r>
            <a:rPr lang="en-US" sz="800" b="0" i="0" u="none" strike="noStrike" baseline="0">
              <a:solidFill>
                <a:srgbClr val="000000"/>
              </a:solidFill>
              <a:latin typeface="Arial"/>
              <a:cs typeface="Arial"/>
            </a:rPr>
            <a:t>can sometimes be a negative number.  Alternatively, enter the requred </a:t>
          </a:r>
          <a:r>
            <a:rPr lang="en-US" sz="800" b="0" i="0" u="none" strike="noStrike" baseline="0">
              <a:solidFill>
                <a:srgbClr val="339933"/>
              </a:solidFill>
              <a:latin typeface="Arial"/>
              <a:cs typeface="Arial"/>
            </a:rPr>
            <a:t>"Base"</a:t>
          </a:r>
          <a:r>
            <a:rPr lang="en-US" sz="800" b="0" i="0" u="none" strike="noStrike" baseline="0">
              <a:solidFill>
                <a:srgbClr val="000000"/>
              </a:solidFill>
              <a:latin typeface="Arial"/>
              <a:cs typeface="Arial"/>
            </a:rPr>
            <a:t> value, and then press the macro button.</a:t>
          </a:r>
        </a:p>
        <a:p>
          <a:pPr algn="l"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It is assumed that the arm winch distances you enter are relevant for close-hauled, so measure your geometry with the arm in the right place.</a:t>
          </a:r>
        </a:p>
        <a:p>
          <a:pPr algn="l"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The arm is moved through 20 "steps".  You can change the angle of each step increment (default "Incr" = 5 degrees) to suit.</a:t>
          </a:r>
        </a:p>
      </xdr:txBody>
    </xdr:sp>
    <xdr:clientData/>
  </xdr:twoCellAnchor>
  <xdr:twoCellAnchor>
    <xdr:from>
      <xdr:col>14</xdr:col>
      <xdr:colOff>9525</xdr:colOff>
      <xdr:row>1</xdr:row>
      <xdr:rowOff>66675</xdr:rowOff>
    </xdr:from>
    <xdr:to>
      <xdr:col>16</xdr:col>
      <xdr:colOff>9525</xdr:colOff>
      <xdr:row>17</xdr:row>
      <xdr:rowOff>104775</xdr:rowOff>
    </xdr:to>
    <xdr:sp macro="" textlink="">
      <xdr:nvSpPr>
        <xdr:cNvPr id="1026" name="Text 2"/>
        <xdr:cNvSpPr txBox="1">
          <a:spLocks noChangeArrowheads="1"/>
        </xdr:cNvSpPr>
      </xdr:nvSpPr>
      <xdr:spPr bwMode="auto">
        <a:xfrm>
          <a:off x="7134225" y="219075"/>
          <a:ext cx="1333500" cy="2476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prstDash val="solid"/>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Click on the "Graph" tab to see how the sheeting angles change as the sheets are eased.</a:t>
          </a:r>
        </a:p>
        <a:p>
          <a:pPr algn="l"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I think the difference between MSA and JSA should be just a few degrees by the time the jib reaches 45 degrees.</a:t>
          </a:r>
        </a:p>
      </xdr:txBody>
    </xdr:sp>
    <xdr:clientData/>
  </xdr:twoCellAnchor>
  <xdr:twoCellAnchor>
    <xdr:from>
      <xdr:col>8</xdr:col>
      <xdr:colOff>495300</xdr:colOff>
      <xdr:row>31</xdr:row>
      <xdr:rowOff>0</xdr:rowOff>
    </xdr:from>
    <xdr:to>
      <xdr:col>16</xdr:col>
      <xdr:colOff>581025</xdr:colOff>
      <xdr:row>34</xdr:row>
      <xdr:rowOff>38100</xdr:rowOff>
    </xdr:to>
    <xdr:sp macro="" textlink="">
      <xdr:nvSpPr>
        <xdr:cNvPr id="1027" name="Text 3"/>
        <xdr:cNvSpPr txBox="1">
          <a:spLocks noChangeArrowheads="1"/>
        </xdr:cNvSpPr>
      </xdr:nvSpPr>
      <xdr:spPr bwMode="auto">
        <a:xfrm>
          <a:off x="4591050" y="4724400"/>
          <a:ext cx="4448175" cy="4953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prstDash val="solid"/>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If the flag "</a:t>
          </a:r>
          <a:r>
            <a:rPr lang="en-US" sz="800" b="0" i="0" u="none" strike="noStrike" baseline="0">
              <a:solidFill>
                <a:srgbClr val="FF0000"/>
              </a:solidFill>
              <a:latin typeface="Arial"/>
              <a:cs typeface="Arial"/>
            </a:rPr>
            <a:t>OFF</a:t>
          </a:r>
          <a:r>
            <a:rPr lang="en-US" sz="800" b="0" i="0" u="none" strike="noStrike" baseline="0">
              <a:solidFill>
                <a:srgbClr val="000000"/>
              </a:solidFill>
              <a:latin typeface="Arial"/>
              <a:cs typeface="Arial"/>
            </a:rPr>
            <a:t>" appears, the 'Start' value of the sheeting feed does not yield the desired 'Base' sheeting angle.  Change the 'Start' value until the MSA or JSA for step "0" matches the required 'Base' sheeting angle.</a:t>
          </a:r>
        </a:p>
      </xdr:txBody>
    </xdr:sp>
    <xdr:clientData/>
  </xdr:twoCellAnchor>
  <xdr:twoCellAnchor>
    <xdr:from>
      <xdr:col>6</xdr:col>
      <xdr:colOff>428625</xdr:colOff>
      <xdr:row>1</xdr:row>
      <xdr:rowOff>47625</xdr:rowOff>
    </xdr:from>
    <xdr:to>
      <xdr:col>13</xdr:col>
      <xdr:colOff>276225</xdr:colOff>
      <xdr:row>17</xdr:row>
      <xdr:rowOff>114300</xdr:rowOff>
    </xdr:to>
    <xdr:sp macro="" textlink="">
      <xdr:nvSpPr>
        <xdr:cNvPr id="1028" name="Text 4"/>
        <xdr:cNvSpPr txBox="1">
          <a:spLocks noChangeArrowheads="1"/>
        </xdr:cNvSpPr>
      </xdr:nvSpPr>
      <xdr:spPr bwMode="auto">
        <a:xfrm>
          <a:off x="3495675" y="200025"/>
          <a:ext cx="3390900" cy="2505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prstDash val="solid"/>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By entering the required rig #, the spreadsheet picks up the right set of standard jib measurements, and, with your particular jib pivot offset specified in the yellow cells, calculates values it needs.  For interest, the offset % is shown.</a:t>
          </a:r>
        </a:p>
        <a:p>
          <a:pPr algn="l"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If these supplied rig values don't suit you (they are good for IOM jibs only), pop your own in...</a:t>
          </a:r>
        </a:p>
        <a:p>
          <a:pPr algn="l"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The value of "Tack" is the tack angle "T", and the value of "Pivot" is the pivot angle, as illustrated in the Web page diagram.  The "effective" jib sheeting radius, due to the inclination of the pivot, is shown as "r" below.</a:t>
          </a:r>
        </a:p>
        <a:p>
          <a:pPr algn="l"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On the arm winch, the attachment of the jib and main lines can be anywhere required.  "Mr" and "Me", and "Jr" and "Je" are the distances for main and jib attachments respectively.  CHECK that the calculated arm angle matches your setup.</a:t>
          </a:r>
        </a:p>
      </xdr:txBody>
    </xdr:sp>
    <xdr:clientData/>
  </xdr:twoCellAnchor>
  <mc:AlternateContent xmlns:mc="http://schemas.openxmlformats.org/markup-compatibility/2006">
    <mc:Choice xmlns:a14="http://schemas.microsoft.com/office/drawing/2010/main" Requires="a14">
      <xdr:twoCellAnchor>
        <xdr:from>
          <xdr:col>0</xdr:col>
          <xdr:colOff>133350</xdr:colOff>
          <xdr:row>27</xdr:row>
          <xdr:rowOff>9525</xdr:rowOff>
        </xdr:from>
        <xdr:to>
          <xdr:col>3</xdr:col>
          <xdr:colOff>428625</xdr:colOff>
          <xdr:row>28</xdr:row>
          <xdr:rowOff>133350</xdr:rowOff>
        </xdr:to>
        <xdr:sp macro="" textlink="">
          <xdr:nvSpPr>
            <xdr:cNvPr id="1030" name="Button 6"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18288" rIns="27432" bIns="18288" anchor="ctr" upright="1"/>
            <a:lstStyle/>
            <a:p>
              <a:pPr algn="ctr" rtl="0">
                <a:defRPr sz="1000"/>
              </a:pPr>
              <a:r>
                <a:rPr lang="en-US" sz="1000" b="0" i="0" u="none" strike="noStrike" baseline="0">
                  <a:solidFill>
                    <a:srgbClr val="000000"/>
                  </a:solidFill>
                  <a:latin typeface="Courier"/>
                </a:rPr>
                <a:t>Set main </a:t>
              </a:r>
              <a:r>
                <a:rPr lang="en-US" sz="1000" b="0" i="0" u="none" strike="noStrike" baseline="0">
                  <a:solidFill>
                    <a:srgbClr val="0000FF"/>
                  </a:solidFill>
                  <a:latin typeface="Courier"/>
                </a:rPr>
                <a:t>"start"</a:t>
              </a:r>
              <a:r>
                <a:rPr lang="en-US" sz="1000" b="0" i="0" u="none" strike="noStrike" baseline="0">
                  <a:solidFill>
                    <a:srgbClr val="000000"/>
                  </a:solidFill>
                  <a:latin typeface="Courier"/>
                </a:rPr>
                <a:t> value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28575</xdr:colOff>
          <xdr:row>26</xdr:row>
          <xdr:rowOff>133350</xdr:rowOff>
        </xdr:from>
        <xdr:to>
          <xdr:col>9</xdr:col>
          <xdr:colOff>285750</xdr:colOff>
          <xdr:row>28</xdr:row>
          <xdr:rowOff>114300</xdr:rowOff>
        </xdr:to>
        <xdr:sp macro="" textlink="">
          <xdr:nvSpPr>
            <xdr:cNvPr id="1031" name="Button 7"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18288" rIns="27432" bIns="18288" anchor="ctr" upright="1"/>
            <a:lstStyle/>
            <a:p>
              <a:pPr algn="ctr" rtl="0">
                <a:defRPr sz="1000"/>
              </a:pPr>
              <a:r>
                <a:rPr lang="en-US" sz="1000" b="0" i="0" u="none" strike="noStrike" baseline="0">
                  <a:solidFill>
                    <a:srgbClr val="000000"/>
                  </a:solidFill>
                  <a:latin typeface="Courier"/>
                </a:rPr>
                <a:t>Set jib </a:t>
              </a:r>
              <a:r>
                <a:rPr lang="en-US" sz="1000" b="0" i="0" u="none" strike="noStrike" baseline="0">
                  <a:solidFill>
                    <a:srgbClr val="0000FF"/>
                  </a:solidFill>
                  <a:latin typeface="Courier"/>
                </a:rPr>
                <a:t>"start"</a:t>
              </a:r>
              <a:r>
                <a:rPr lang="en-US" sz="1000" b="0" i="0" u="none" strike="noStrike" baseline="0">
                  <a:solidFill>
                    <a:srgbClr val="000000"/>
                  </a:solidFill>
                  <a:latin typeface="Courier"/>
                </a:rPr>
                <a:t> value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333375</xdr:colOff>
      <xdr:row>25</xdr:row>
      <xdr:rowOff>38100</xdr:rowOff>
    </xdr:from>
    <xdr:to>
      <xdr:col>8</xdr:col>
      <xdr:colOff>123825</xdr:colOff>
      <xdr:row>27</xdr:row>
      <xdr:rowOff>133350</xdr:rowOff>
    </xdr:to>
    <xdr:sp macro="" textlink="">
      <xdr:nvSpPr>
        <xdr:cNvPr id="2050" name="Text 2"/>
        <xdr:cNvSpPr txBox="1">
          <a:spLocks noChangeArrowheads="1"/>
        </xdr:cNvSpPr>
      </xdr:nvSpPr>
      <xdr:spPr bwMode="auto">
        <a:xfrm>
          <a:off x="1647825" y="3781425"/>
          <a:ext cx="2981325" cy="4000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prstDash val="solid"/>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The graph won't plot MSA values greater than this value.  Change it to suit.</a:t>
          </a:r>
        </a:p>
      </xdr:txBody>
    </xdr:sp>
    <xdr:clientData/>
  </xdr:twoCellAnchor>
  <xdr:twoCellAnchor>
    <xdr:from>
      <xdr:col>3</xdr:col>
      <xdr:colOff>266700</xdr:colOff>
      <xdr:row>0</xdr:row>
      <xdr:rowOff>85725</xdr:rowOff>
    </xdr:from>
    <xdr:to>
      <xdr:col>12</xdr:col>
      <xdr:colOff>381000</xdr:colOff>
      <xdr:row>22</xdr:row>
      <xdr:rowOff>133350</xdr:rowOff>
    </xdr:to>
    <xdr:graphicFrame macro="">
      <xdr:nvGraphicFramePr>
        <xdr:cNvPr id="205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0.10924</cdr:x>
      <cdr:y>0.52989</cdr:y>
    </cdr:from>
    <cdr:to>
      <cdr:x>0.85286</cdr:x>
      <cdr:y>0.52989</cdr:y>
    </cdr:to>
    <cdr:sp macro="" textlink="">
      <cdr:nvSpPr>
        <cdr:cNvPr id="3073" name="Line 1"/>
        <cdr:cNvSpPr>
          <a:spLocks xmlns:a="http://schemas.openxmlformats.org/drawingml/2006/main" noChangeShapeType="1"/>
        </cdr:cNvSpPr>
      </cdr:nvSpPr>
      <cdr:spPr bwMode="auto">
        <a:xfrm xmlns:a="http://schemas.openxmlformats.org/drawingml/2006/main">
          <a:off x="664953" y="1815132"/>
          <a:ext cx="4504782"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prstDash val="solid"/>
          <a:round/>
          <a:headEnd/>
          <a:tailEnd type="none" w="med" len="med"/>
        </a:ln>
        <a:extLst xmlns:a="http://schemas.openxmlformats.org/drawingml/2006/main">
          <a:ext uri="{909E8E84-426E-40DD-AFC4-6F175D3DCCD1}">
            <a14:hiddenFill xmlns:a14="http://schemas.microsoft.com/office/drawing/2010/main">
              <a:noFill/>
            </a14:hiddenFill>
          </a:ext>
        </a:extLst>
      </cdr:spPr>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
  <dimension ref="A1:Q68"/>
  <sheetViews>
    <sheetView showGridLines="0" tabSelected="1" workbookViewId="0">
      <selection activeCell="B20" sqref="B20"/>
    </sheetView>
  </sheetViews>
  <sheetFormatPr defaultColWidth="8.75" defaultRowHeight="12" x14ac:dyDescent="0.15"/>
  <cols>
    <col min="1" max="5" width="6.75" customWidth="1"/>
    <col min="6" max="6" width="6.5" customWidth="1"/>
    <col min="7" max="11" width="6.75" customWidth="1"/>
    <col min="12" max="12" width="6" customWidth="1"/>
    <col min="13" max="14" width="6.75" customWidth="1"/>
  </cols>
  <sheetData>
    <row r="1" spans="1:1" x14ac:dyDescent="0.15">
      <c r="A1" s="1" t="s">
        <v>0</v>
      </c>
    </row>
    <row r="2" spans="1:1" x14ac:dyDescent="0.15">
      <c r="A2" s="1"/>
    </row>
    <row r="3" spans="1:1" x14ac:dyDescent="0.15">
      <c r="A3" s="1"/>
    </row>
    <row r="4" spans="1:1" x14ac:dyDescent="0.15">
      <c r="A4" s="1"/>
    </row>
    <row r="5" spans="1:1" x14ac:dyDescent="0.15">
      <c r="A5" s="1"/>
    </row>
    <row r="6" spans="1:1" x14ac:dyDescent="0.15">
      <c r="A6" s="1"/>
    </row>
    <row r="7" spans="1:1" x14ac:dyDescent="0.15">
      <c r="A7" s="1"/>
    </row>
    <row r="8" spans="1:1" x14ac:dyDescent="0.15">
      <c r="A8" s="1"/>
    </row>
    <row r="9" spans="1:1" x14ac:dyDescent="0.15">
      <c r="A9" s="1"/>
    </row>
    <row r="10" spans="1:1" x14ac:dyDescent="0.15">
      <c r="A10" s="1"/>
    </row>
    <row r="11" spans="1:1" x14ac:dyDescent="0.15">
      <c r="A11" s="1"/>
    </row>
    <row r="12" spans="1:1" x14ac:dyDescent="0.15">
      <c r="A12" s="1"/>
    </row>
    <row r="13" spans="1:1" x14ac:dyDescent="0.15">
      <c r="A13" s="1"/>
    </row>
    <row r="14" spans="1:1" x14ac:dyDescent="0.15">
      <c r="A14" s="1"/>
    </row>
    <row r="15" spans="1:1" x14ac:dyDescent="0.15">
      <c r="A15" s="1"/>
    </row>
    <row r="16" spans="1:1" x14ac:dyDescent="0.15">
      <c r="A16" s="1"/>
    </row>
    <row r="17" spans="1:17" x14ac:dyDescent="0.15">
      <c r="A17" s="1"/>
    </row>
    <row r="19" spans="1:17" x14ac:dyDescent="0.15">
      <c r="A19" s="1" t="s">
        <v>1</v>
      </c>
      <c r="G19" s="1" t="s">
        <v>2</v>
      </c>
      <c r="N19" s="9" t="s">
        <v>3</v>
      </c>
      <c r="O19" s="9" t="s">
        <v>3</v>
      </c>
      <c r="P19" s="9" t="s">
        <v>3</v>
      </c>
    </row>
    <row r="20" spans="1:17" x14ac:dyDescent="0.15">
      <c r="A20" s="2" t="s">
        <v>4</v>
      </c>
      <c r="B20" s="23">
        <v>130</v>
      </c>
      <c r="C20" t="s">
        <v>5</v>
      </c>
      <c r="D20" s="10" t="s">
        <v>6</v>
      </c>
      <c r="E20" s="11">
        <f>B20^2</f>
        <v>16900</v>
      </c>
      <c r="G20" s="2" t="s">
        <v>7</v>
      </c>
      <c r="H20" s="14">
        <v>1</v>
      </c>
      <c r="J20" s="2" t="s">
        <v>8</v>
      </c>
      <c r="K20" s="3">
        <f>H21*SIN(PI()*HLOOKUP(H20,N20:P30,11)/180)</f>
        <v>126.20194480178442</v>
      </c>
      <c r="N20" s="3">
        <v>1</v>
      </c>
      <c r="O20" s="3">
        <v>2</v>
      </c>
      <c r="P20" s="3">
        <v>3</v>
      </c>
    </row>
    <row r="21" spans="1:17" x14ac:dyDescent="0.15">
      <c r="A21" s="2" t="s">
        <v>9</v>
      </c>
      <c r="B21" s="8">
        <v>130</v>
      </c>
      <c r="C21" t="s">
        <v>5</v>
      </c>
      <c r="D21" s="10" t="s">
        <v>10</v>
      </c>
      <c r="E21" s="11">
        <f>B21^2</f>
        <v>16900</v>
      </c>
      <c r="G21" s="2" t="s">
        <v>4</v>
      </c>
      <c r="H21" s="8">
        <v>130</v>
      </c>
      <c r="I21" t="s">
        <v>5</v>
      </c>
      <c r="J21" s="2" t="s">
        <v>11</v>
      </c>
      <c r="K21" s="3">
        <f>H22*SIN(HLOOKUP(H20,N20:P30,11)*PI()/180)</f>
        <v>126.20194480178442</v>
      </c>
      <c r="M21" s="2" t="s">
        <v>12</v>
      </c>
      <c r="N21" s="3">
        <v>1330</v>
      </c>
      <c r="O21" s="3">
        <v>990</v>
      </c>
      <c r="P21" s="3">
        <v>740</v>
      </c>
      <c r="Q21" t="s">
        <v>5</v>
      </c>
    </row>
    <row r="22" spans="1:17" x14ac:dyDescent="0.15">
      <c r="A22" s="2" t="s">
        <v>13</v>
      </c>
      <c r="B22" s="3">
        <f>B21-B20</f>
        <v>0</v>
      </c>
      <c r="C22" t="s">
        <v>5</v>
      </c>
      <c r="D22" s="10" t="s">
        <v>14</v>
      </c>
      <c r="E22" s="11">
        <f>B21*2</f>
        <v>260</v>
      </c>
      <c r="G22" s="2" t="s">
        <v>9</v>
      </c>
      <c r="H22" s="8">
        <v>130</v>
      </c>
      <c r="I22" t="s">
        <v>5</v>
      </c>
      <c r="J22" s="2" t="s">
        <v>15</v>
      </c>
      <c r="K22" s="3">
        <f>H23*SIN(HLOOKUP(H20,N20:P30,11)*PI()/180)</f>
        <v>9.7078419078295717</v>
      </c>
      <c r="M22" s="2" t="s">
        <v>16</v>
      </c>
      <c r="N22" s="3">
        <v>1255</v>
      </c>
      <c r="O22" s="3">
        <v>910</v>
      </c>
      <c r="P22" s="3">
        <v>665</v>
      </c>
      <c r="Q22" t="s">
        <v>5</v>
      </c>
    </row>
    <row r="23" spans="1:17" x14ac:dyDescent="0.15">
      <c r="A23" s="2" t="s">
        <v>17</v>
      </c>
      <c r="B23" s="8">
        <v>20</v>
      </c>
      <c r="C23" t="s">
        <v>5</v>
      </c>
      <c r="D23" s="10" t="s">
        <v>18</v>
      </c>
      <c r="E23" s="11">
        <f>B23^2</f>
        <v>400</v>
      </c>
      <c r="G23" s="2" t="s">
        <v>17</v>
      </c>
      <c r="H23" s="8">
        <v>10</v>
      </c>
      <c r="I23" t="s">
        <v>5</v>
      </c>
      <c r="J23" s="2" t="s">
        <v>18</v>
      </c>
      <c r="K23" s="3">
        <f>K22^2</f>
        <v>94.242194507412094</v>
      </c>
      <c r="M23" s="2" t="s">
        <v>19</v>
      </c>
      <c r="N23" s="3">
        <v>385</v>
      </c>
      <c r="O23" s="3">
        <v>350</v>
      </c>
      <c r="P23" s="3">
        <v>300</v>
      </c>
      <c r="Q23" t="s">
        <v>5</v>
      </c>
    </row>
    <row r="24" spans="1:17" x14ac:dyDescent="0.15">
      <c r="A24" s="2" t="s">
        <v>20</v>
      </c>
      <c r="B24" s="14">
        <v>5</v>
      </c>
      <c r="C24" t="s">
        <v>21</v>
      </c>
      <c r="D24" s="10" t="s">
        <v>22</v>
      </c>
      <c r="E24" s="11">
        <f>IF(B22&lt;0,ABS(2*B22),0)</f>
        <v>0</v>
      </c>
      <c r="G24" s="2"/>
      <c r="H24" s="3">
        <f>B24</f>
        <v>5</v>
      </c>
      <c r="J24" s="2" t="s">
        <v>23</v>
      </c>
      <c r="K24" s="3">
        <f>K20^2</f>
        <v>15926.930871752642</v>
      </c>
      <c r="M24" s="2" t="s">
        <v>24</v>
      </c>
      <c r="N24" s="14">
        <v>60</v>
      </c>
      <c r="O24" s="14">
        <v>55</v>
      </c>
      <c r="P24" s="14">
        <v>50</v>
      </c>
      <c r="Q24" t="s">
        <v>5</v>
      </c>
    </row>
    <row r="25" spans="1:17" x14ac:dyDescent="0.15">
      <c r="A25" s="18" t="s">
        <v>25</v>
      </c>
      <c r="B25" s="19">
        <v>2.9912766152198795</v>
      </c>
      <c r="D25" s="12"/>
      <c r="E25" s="12"/>
      <c r="G25" s="18" t="s">
        <v>25</v>
      </c>
      <c r="H25" s="19">
        <v>38.866665010354424</v>
      </c>
      <c r="J25" s="2" t="s">
        <v>26</v>
      </c>
      <c r="K25" s="3">
        <f>K21^2</f>
        <v>15926.930871752642</v>
      </c>
      <c r="M25" s="2" t="s">
        <v>27</v>
      </c>
      <c r="N25" s="4">
        <f>N24/N23</f>
        <v>0.15584415584415584</v>
      </c>
      <c r="O25" s="4">
        <f>O24/O23</f>
        <v>0.15714285714285714</v>
      </c>
      <c r="P25" s="4">
        <f>P24/P23</f>
        <v>0.16666666666666666</v>
      </c>
    </row>
    <row r="26" spans="1:17" x14ac:dyDescent="0.15">
      <c r="A26" s="20" t="s">
        <v>28</v>
      </c>
      <c r="B26" s="21">
        <v>5</v>
      </c>
      <c r="C26" t="s">
        <v>29</v>
      </c>
      <c r="G26" s="20" t="s">
        <v>28</v>
      </c>
      <c r="H26" s="21">
        <v>15</v>
      </c>
      <c r="I26" t="s">
        <v>29</v>
      </c>
      <c r="J26" s="2" t="s">
        <v>30</v>
      </c>
      <c r="K26" s="3">
        <f>2*K20*K21</f>
        <v>31853.861743505284</v>
      </c>
      <c r="M26" s="2" t="s">
        <v>31</v>
      </c>
      <c r="N26" s="5">
        <f>ACOS(((N21^2+(N23-20)^2-N22^2))/(2*N21*(N23-20)))*180/PI()</f>
        <v>70.31164500077395</v>
      </c>
      <c r="O26" s="5">
        <f>ACOS(((O21^2+(O23-20)^2-O22^2))/(2*O21*(O23-20)))*180/PI()</f>
        <v>66.465825197449561</v>
      </c>
      <c r="P26" s="5">
        <f>ACOS(((P21^2+(P23-20)^2-P22^2))/(2*P21*(P23-20)))*180/PI()</f>
        <v>63.674349512757964</v>
      </c>
      <c r="Q26" t="s">
        <v>29</v>
      </c>
    </row>
    <row r="27" spans="1:17" x14ac:dyDescent="0.15">
      <c r="B27" s="5"/>
      <c r="M27" s="2" t="s">
        <v>32</v>
      </c>
      <c r="N27" s="5">
        <f>ACOS((N22^2+(N23-20)^2-N21^2)/(2*N22*(N23-20)))*180/PI()</f>
        <v>93.795811029105835</v>
      </c>
      <c r="O27" s="5">
        <f>ACOS((O22^2+(O23-20)^2-O21^2)/(2*O22*(O23-20)))*180/PI()</f>
        <v>94.115172360098299</v>
      </c>
      <c r="P27" s="5">
        <f>ACOS((P22^2+(P23-20)^2-P21^2)/(2*P22*(P23-20)))*180/PI()</f>
        <v>94.153889411594747</v>
      </c>
      <c r="Q27" t="s">
        <v>29</v>
      </c>
    </row>
    <row r="28" spans="1:17" x14ac:dyDescent="0.15">
      <c r="M28" s="2" t="s">
        <v>33</v>
      </c>
      <c r="N28" s="6">
        <f>N21-(N21-N22)*(1-N24/N23)</f>
        <v>1266.6883116883116</v>
      </c>
      <c r="O28" s="6">
        <f>O21-(O21-O22)*(1-O24/O23)</f>
        <v>922.57142857142856</v>
      </c>
      <c r="P28" s="6">
        <f>P21-(P21-P22)*(1-P24/P23)</f>
        <v>677.5</v>
      </c>
      <c r="Q28" t="s">
        <v>5</v>
      </c>
    </row>
    <row r="29" spans="1:17" x14ac:dyDescent="0.15">
      <c r="M29" s="2" t="s">
        <v>34</v>
      </c>
      <c r="N29" s="6">
        <f>N23-N24</f>
        <v>325</v>
      </c>
      <c r="O29" s="6">
        <f>O23-O24</f>
        <v>295</v>
      </c>
      <c r="P29" s="6">
        <f>P23-P24</f>
        <v>250</v>
      </c>
      <c r="Q29" t="s">
        <v>5</v>
      </c>
    </row>
    <row r="30" spans="1:17" x14ac:dyDescent="0.15">
      <c r="A30" t="s">
        <v>35</v>
      </c>
      <c r="M30" s="2" t="s">
        <v>36</v>
      </c>
      <c r="N30" s="5">
        <f>90-180*ACOS((N28^2+N22^2-(N29-20)^2)/(2*N28*N22))/PI()</f>
        <v>76.116158244426458</v>
      </c>
      <c r="O30" s="5">
        <f>90-180*ACOS((O28^2+O22^2-(O29-20)^2)/(2*O28*O22))/PI()</f>
        <v>72.756692919059617</v>
      </c>
      <c r="P30" s="5">
        <f>90-180*ACOS((P28^2+P22^2-(P29-20)^2)/(2*P28*P22))/PI()</f>
        <v>70.299184917775733</v>
      </c>
      <c r="Q30" t="s">
        <v>29</v>
      </c>
    </row>
    <row r="31" spans="1:17" x14ac:dyDescent="0.15">
      <c r="M31" s="2"/>
      <c r="N31" s="5"/>
      <c r="O31" s="5"/>
      <c r="P31" s="5"/>
    </row>
    <row r="32" spans="1:17" x14ac:dyDescent="0.15">
      <c r="A32" t="s">
        <v>37</v>
      </c>
      <c r="B32" s="17">
        <v>100</v>
      </c>
      <c r="C32" t="s">
        <v>38</v>
      </c>
      <c r="G32" t="s">
        <v>39</v>
      </c>
      <c r="H32" s="17">
        <v>85</v>
      </c>
      <c r="I32" t="s">
        <v>38</v>
      </c>
      <c r="M32" s="2"/>
      <c r="N32" s="5"/>
      <c r="O32" s="5"/>
      <c r="P32" s="5"/>
    </row>
    <row r="33" spans="1:16" x14ac:dyDescent="0.15">
      <c r="A33" t="s">
        <v>40</v>
      </c>
      <c r="B33" s="17">
        <v>170</v>
      </c>
      <c r="C33" t="s">
        <v>38</v>
      </c>
      <c r="G33" t="s">
        <v>41</v>
      </c>
      <c r="H33" s="17">
        <v>160</v>
      </c>
      <c r="I33" t="s">
        <v>38</v>
      </c>
      <c r="M33" s="2"/>
      <c r="N33" s="5"/>
      <c r="O33" s="5"/>
      <c r="P33" s="5"/>
    </row>
    <row r="34" spans="1:16" x14ac:dyDescent="0.15">
      <c r="A34" t="s">
        <v>42</v>
      </c>
      <c r="B34" s="17">
        <v>100</v>
      </c>
      <c r="C34" t="s">
        <v>38</v>
      </c>
      <c r="G34" t="s">
        <v>43</v>
      </c>
      <c r="H34" s="17">
        <v>95</v>
      </c>
      <c r="I34" t="s">
        <v>38</v>
      </c>
      <c r="M34" s="2"/>
      <c r="N34" s="5"/>
      <c r="O34" s="5"/>
      <c r="P34" s="5"/>
    </row>
    <row r="35" spans="1:16" x14ac:dyDescent="0.15">
      <c r="A35" t="s">
        <v>44</v>
      </c>
      <c r="D35" s="24">
        <f>180*ACOS((MarmRadius^2+AMdistExit^2-MdistExit^2)/(2*MarmRadius*AMdistExit))/PI()</f>
        <v>116.42333876589676</v>
      </c>
      <c r="E35" t="s">
        <v>45</v>
      </c>
      <c r="M35" s="2"/>
      <c r="N35" s="5"/>
      <c r="O35" s="5"/>
      <c r="P35" s="5"/>
    </row>
    <row r="36" spans="1:16" x14ac:dyDescent="0.15">
      <c r="A36" t="s">
        <v>44</v>
      </c>
      <c r="D36" s="24">
        <f>180*ACOS((JarmRadius^2+AJdistExit^2-JdistExit^2)/(2*JarmRadius*AJdistExit))/PI()</f>
        <v>125.3765401519416</v>
      </c>
      <c r="E36" t="s">
        <v>46</v>
      </c>
      <c r="M36" s="2"/>
      <c r="N36" s="5"/>
      <c r="O36" s="5"/>
      <c r="P36" s="5"/>
    </row>
    <row r="38" spans="1:16" x14ac:dyDescent="0.15">
      <c r="A38" s="2" t="s">
        <v>47</v>
      </c>
      <c r="C38" s="2" t="s">
        <v>48</v>
      </c>
      <c r="D38" s="2" t="s">
        <v>49</v>
      </c>
      <c r="E38" s="2" t="s">
        <v>50</v>
      </c>
      <c r="F38" s="2" t="s">
        <v>51</v>
      </c>
      <c r="G38" s="2" t="s">
        <v>52</v>
      </c>
      <c r="H38" s="2" t="s">
        <v>47</v>
      </c>
      <c r="J38" s="2" t="s">
        <v>48</v>
      </c>
      <c r="K38" s="2" t="s">
        <v>49</v>
      </c>
      <c r="L38" s="2" t="s">
        <v>50</v>
      </c>
      <c r="M38" s="2" t="s">
        <v>53</v>
      </c>
      <c r="N38" s="2" t="s">
        <v>52</v>
      </c>
      <c r="O38" s="2" t="s">
        <v>54</v>
      </c>
      <c r="P38" s="2" t="s">
        <v>55</v>
      </c>
    </row>
    <row r="39" spans="1:16" x14ac:dyDescent="0.15">
      <c r="A39" s="3">
        <v>0</v>
      </c>
      <c r="B39" s="16">
        <f t="shared" ref="B39:B59" si="0">$D$35-$A39*$B$24</f>
        <v>116.42333876589676</v>
      </c>
      <c r="C39" s="5">
        <f>MdistExit-SQRT(MarmRadius^2+AdistExit^2-2*MarmRadius*AdistExit*COS(PI()*B39/180))+$B$22+$B$25+$E$24</f>
        <v>2.9912766152198795</v>
      </c>
      <c r="D39" s="5">
        <f>SQRT(($B$23+C39)^2-$E$23)</f>
        <v>11.340141110125421</v>
      </c>
      <c r="E39" s="5">
        <f>($E$20-D39^2+$E$21)/$E$22</f>
        <v>129.50538922924017</v>
      </c>
      <c r="F39" s="5">
        <f>360*ACOS(E39/$B$20)/(2*PI())</f>
        <v>4.9996031333638147</v>
      </c>
      <c r="G39" s="13" t="str">
        <f>IF(ABS($B$26-$F$39)&lt;0.1,"","OFF")</f>
        <v/>
      </c>
      <c r="H39" s="3">
        <f>A39</f>
        <v>0</v>
      </c>
      <c r="I39" s="16">
        <f>$D$36-$A39*$B$24</f>
        <v>125.3765401519416</v>
      </c>
      <c r="J39" s="5">
        <f>JdistExit-SQRT(JarmRadius^2+AdistExit^2-2*JarmRadius*AdistExit*COS(PI()*I39/180))+$H$25</f>
        <v>34.345829663709381</v>
      </c>
      <c r="K39" s="5">
        <f>SQRT(J39^2-$K$23)</f>
        <v>32.945315612103755</v>
      </c>
      <c r="L39" s="5">
        <f>($K$24+$K$25-K39^2)/$K$26</f>
        <v>0.96592583249337338</v>
      </c>
      <c r="M39" s="5">
        <f>180*ACOS(L39)/PI()</f>
        <v>14.999998626528766</v>
      </c>
      <c r="N39" s="13" t="str">
        <f>IF(ABS($H$26-$M$39)&lt;0.1,"","OFF")</f>
        <v/>
      </c>
      <c r="O39" s="5">
        <f>M39-F39</f>
        <v>10.000395493164952</v>
      </c>
      <c r="P39" s="7">
        <f>O39/M39</f>
        <v>0.66669309392324916</v>
      </c>
    </row>
    <row r="40" spans="1:16" x14ac:dyDescent="0.15">
      <c r="A40" s="3">
        <v>1</v>
      </c>
      <c r="B40" s="16">
        <f t="shared" si="0"/>
        <v>111.42333876589676</v>
      </c>
      <c r="C40" s="5">
        <f t="shared" ref="C40:C59" si="1">MdistExit-SQRT(MarmRadius^2+AdistExit^2-2*MarmRadius*AdistExit*COS(PI()*B40/180))+$B$22+$B$25+$E$24</f>
        <v>7.7486665682314761</v>
      </c>
      <c r="D40" s="5">
        <f t="shared" ref="D40:D59" si="2">SQRT(($B$23+C40)^2-$E$23)</f>
        <v>19.235085035291302</v>
      </c>
      <c r="E40" s="5">
        <f t="shared" ref="E40:E59" si="3">($E$20-D40^2+$E$21)/$E$22</f>
        <v>128.57696732186582</v>
      </c>
      <c r="F40" s="5">
        <f t="shared" ref="F40:F59" si="4">360*ACOS(E40/$B$20)/(2*PI())</f>
        <v>8.4853615499449617</v>
      </c>
      <c r="G40" s="13" t="str">
        <f t="shared" ref="G40:G59" si="5">IF(ABS($B$26-$F$39)&lt;0.1,"","OFF")</f>
        <v/>
      </c>
      <c r="H40" s="3">
        <f t="shared" ref="H40:H59" si="6">A40</f>
        <v>1</v>
      </c>
      <c r="I40" s="16">
        <f t="shared" ref="I40:I59" si="7">$D$36-$A40*$B$24</f>
        <v>120.3765401519416</v>
      </c>
      <c r="J40" s="5">
        <f t="shared" ref="J40:J59" si="8">JdistExit-SQRT(JarmRadius^2+AdistExit^2-2*JarmRadius*AdistExit*COS(PI()*I40/180))+$H$25</f>
        <v>38.175751794891212</v>
      </c>
      <c r="K40" s="5">
        <f t="shared" ref="K40:K59" si="9">SQRT(J40^2-$K$23)</f>
        <v>36.920804847642849</v>
      </c>
      <c r="L40" s="5">
        <f t="shared" ref="L40:L59" si="10">($K$24+$K$25-K40^2)/$K$26</f>
        <v>0.95720626147077248</v>
      </c>
      <c r="M40" s="5">
        <f t="shared" ref="M40:M59" si="11">180*ACOS(L40)/PI()</f>
        <v>16.822432634106889</v>
      </c>
      <c r="N40" s="13" t="str">
        <f t="shared" ref="N40:N59" si="12">IF(ABS($H$26-$M$39)&lt;0.1,"","OFF")</f>
        <v/>
      </c>
      <c r="O40" s="5">
        <f t="shared" ref="O40:O59" si="13">M40-F40</f>
        <v>8.3370710841619271</v>
      </c>
      <c r="P40" s="7">
        <f t="shared" ref="P40:P59" si="14">O40/M40</f>
        <v>0.49559247853718907</v>
      </c>
    </row>
    <row r="41" spans="1:16" x14ac:dyDescent="0.15">
      <c r="A41" s="3">
        <v>2</v>
      </c>
      <c r="B41" s="16">
        <f t="shared" si="0"/>
        <v>106.42333876589676</v>
      </c>
      <c r="C41" s="5">
        <f t="shared" si="1"/>
        <v>12.820605221243488</v>
      </c>
      <c r="D41" s="5">
        <f t="shared" si="2"/>
        <v>26.022915422540866</v>
      </c>
      <c r="E41" s="5">
        <f t="shared" si="3"/>
        <v>127.39541489581262</v>
      </c>
      <c r="F41" s="5">
        <f t="shared" si="4"/>
        <v>11.488491549208728</v>
      </c>
      <c r="G41" s="13" t="str">
        <f t="shared" si="5"/>
        <v/>
      </c>
      <c r="H41" s="3">
        <f t="shared" si="6"/>
        <v>2</v>
      </c>
      <c r="I41" s="16">
        <f t="shared" si="7"/>
        <v>115.3765401519416</v>
      </c>
      <c r="J41" s="5">
        <f t="shared" si="8"/>
        <v>42.308021583840016</v>
      </c>
      <c r="K41" s="5">
        <f t="shared" si="9"/>
        <v>41.179199795907408</v>
      </c>
      <c r="L41" s="5">
        <f t="shared" si="10"/>
        <v>0.9467654342984958</v>
      </c>
      <c r="M41" s="5">
        <f t="shared" si="11"/>
        <v>18.779334385748985</v>
      </c>
      <c r="N41" s="13" t="str">
        <f t="shared" si="12"/>
        <v/>
      </c>
      <c r="O41" s="5">
        <f t="shared" si="13"/>
        <v>7.2908428365402571</v>
      </c>
      <c r="P41" s="7">
        <f t="shared" si="14"/>
        <v>0.38823755340727284</v>
      </c>
    </row>
    <row r="42" spans="1:16" x14ac:dyDescent="0.15">
      <c r="A42" s="3">
        <v>3</v>
      </c>
      <c r="B42" s="16">
        <f t="shared" si="0"/>
        <v>101.42333876589676</v>
      </c>
      <c r="C42" s="5">
        <f t="shared" si="1"/>
        <v>18.197437850759748</v>
      </c>
      <c r="D42" s="5">
        <f t="shared" si="2"/>
        <v>32.542960196679303</v>
      </c>
      <c r="E42" s="5">
        <f t="shared" si="3"/>
        <v>125.92675285245133</v>
      </c>
      <c r="F42" s="5">
        <f t="shared" si="4"/>
        <v>14.380595580654781</v>
      </c>
      <c r="G42" s="13" t="str">
        <f t="shared" si="5"/>
        <v/>
      </c>
      <c r="H42" s="3">
        <f t="shared" si="6"/>
        <v>3</v>
      </c>
      <c r="I42" s="16">
        <f t="shared" si="7"/>
        <v>110.3765401519416</v>
      </c>
      <c r="J42" s="5">
        <f t="shared" si="8"/>
        <v>46.734485013147875</v>
      </c>
      <c r="K42" s="5">
        <f t="shared" si="9"/>
        <v>45.715094825852994</v>
      </c>
      <c r="L42" s="5">
        <f t="shared" si="10"/>
        <v>0.93439194557429639</v>
      </c>
      <c r="M42" s="5">
        <f t="shared" si="11"/>
        <v>20.869869446676137</v>
      </c>
      <c r="N42" s="13" t="str">
        <f t="shared" si="12"/>
        <v/>
      </c>
      <c r="O42" s="5">
        <f t="shared" si="13"/>
        <v>6.4892738660213567</v>
      </c>
      <c r="P42" s="7">
        <f t="shared" si="14"/>
        <v>0.31093983997369368</v>
      </c>
    </row>
    <row r="43" spans="1:16" x14ac:dyDescent="0.15">
      <c r="A43" s="3">
        <v>4</v>
      </c>
      <c r="B43" s="16">
        <f t="shared" si="0"/>
        <v>96.423338765896759</v>
      </c>
      <c r="C43" s="5">
        <f t="shared" si="1"/>
        <v>23.868929350270868</v>
      </c>
      <c r="D43" s="5">
        <f t="shared" si="2"/>
        <v>39.044627829434575</v>
      </c>
      <c r="E43" s="5">
        <f t="shared" si="3"/>
        <v>124.13660399100362</v>
      </c>
      <c r="F43" s="5">
        <f t="shared" si="4"/>
        <v>17.273747587800589</v>
      </c>
      <c r="G43" s="13" t="str">
        <f t="shared" si="5"/>
        <v/>
      </c>
      <c r="H43" s="3">
        <f t="shared" si="6"/>
        <v>4</v>
      </c>
      <c r="I43" s="16">
        <f t="shared" si="7"/>
        <v>105.3765401519416</v>
      </c>
      <c r="J43" s="5">
        <f t="shared" si="8"/>
        <v>51.446371759077877</v>
      </c>
      <c r="K43" s="5">
        <f t="shared" si="9"/>
        <v>50.522143389466699</v>
      </c>
      <c r="L43" s="5">
        <f t="shared" si="10"/>
        <v>0.91986883746721038</v>
      </c>
      <c r="M43" s="5">
        <f t="shared" si="11"/>
        <v>23.093085603709952</v>
      </c>
      <c r="N43" s="13" t="str">
        <f t="shared" si="12"/>
        <v/>
      </c>
      <c r="O43" s="5">
        <f t="shared" si="13"/>
        <v>5.8193380159093628</v>
      </c>
      <c r="P43" s="7">
        <f t="shared" si="14"/>
        <v>0.25199482285617453</v>
      </c>
    </row>
    <row r="44" spans="1:16" x14ac:dyDescent="0.15">
      <c r="A44" s="3">
        <v>5</v>
      </c>
      <c r="B44" s="16">
        <f t="shared" si="0"/>
        <v>91.423338765896759</v>
      </c>
      <c r="C44" s="5">
        <f t="shared" si="1"/>
        <v>29.824283713360934</v>
      </c>
      <c r="D44" s="5">
        <f t="shared" si="2"/>
        <v>45.633970324194713</v>
      </c>
      <c r="E44" s="5">
        <f t="shared" si="3"/>
        <v>121.99054135557891</v>
      </c>
      <c r="F44" s="5">
        <f t="shared" si="4"/>
        <v>20.217290103171138</v>
      </c>
      <c r="G44" s="13" t="str">
        <f t="shared" si="5"/>
        <v/>
      </c>
      <c r="H44" s="3">
        <f t="shared" si="6"/>
        <v>5</v>
      </c>
      <c r="I44" s="16">
        <f t="shared" si="7"/>
        <v>100.3765401519416</v>
      </c>
      <c r="J44" s="5">
        <f t="shared" si="8"/>
        <v>56.434298994582932</v>
      </c>
      <c r="K44" s="5">
        <f t="shared" si="9"/>
        <v>55.593056297550078</v>
      </c>
      <c r="L44" s="5">
        <f t="shared" si="10"/>
        <v>0.902976036833816</v>
      </c>
      <c r="M44" s="5">
        <f t="shared" si="11"/>
        <v>25.447946025503114</v>
      </c>
      <c r="N44" s="13" t="str">
        <f t="shared" si="12"/>
        <v/>
      </c>
      <c r="O44" s="5">
        <f t="shared" si="13"/>
        <v>5.2306559223319766</v>
      </c>
      <c r="P44" s="7">
        <f t="shared" si="14"/>
        <v>0.20554334393392618</v>
      </c>
    </row>
    <row r="45" spans="1:16" x14ac:dyDescent="0.15">
      <c r="A45" s="3">
        <v>6</v>
      </c>
      <c r="B45" s="16">
        <f t="shared" si="0"/>
        <v>86.423338765896759</v>
      </c>
      <c r="C45" s="5">
        <f t="shared" si="1"/>
        <v>36.052164584519637</v>
      </c>
      <c r="D45" s="5">
        <f t="shared" si="2"/>
        <v>52.362631280428197</v>
      </c>
      <c r="E45" s="5">
        <f t="shared" si="3"/>
        <v>119.45444171303816</v>
      </c>
      <c r="F45" s="5">
        <f t="shared" si="4"/>
        <v>23.237062470494433</v>
      </c>
      <c r="G45" s="13" t="str">
        <f t="shared" si="5"/>
        <v/>
      </c>
      <c r="H45" s="3">
        <f t="shared" si="6"/>
        <v>6</v>
      </c>
      <c r="I45" s="16">
        <f t="shared" si="7"/>
        <v>95.376540151941597</v>
      </c>
      <c r="J45" s="5">
        <f t="shared" si="8"/>
        <v>61.6882723707282</v>
      </c>
      <c r="K45" s="5">
        <f t="shared" si="9"/>
        <v>60.919625356511638</v>
      </c>
      <c r="L45" s="5">
        <f t="shared" si="10"/>
        <v>0.88349290947951031</v>
      </c>
      <c r="M45" s="5">
        <f t="shared" si="11"/>
        <v>27.933374984107104</v>
      </c>
      <c r="N45" s="13" t="str">
        <f t="shared" si="12"/>
        <v/>
      </c>
      <c r="O45" s="5">
        <f t="shared" si="13"/>
        <v>4.6963125136126713</v>
      </c>
      <c r="P45" s="7">
        <f t="shared" si="14"/>
        <v>0.16812549562251866</v>
      </c>
    </row>
    <row r="46" spans="1:16" x14ac:dyDescent="0.15">
      <c r="A46" s="3">
        <v>7</v>
      </c>
      <c r="B46" s="16">
        <f t="shared" si="0"/>
        <v>81.423338765896759</v>
      </c>
      <c r="C46" s="5">
        <f t="shared" si="1"/>
        <v>42.54071683853909</v>
      </c>
      <c r="D46" s="5">
        <f t="shared" si="2"/>
        <v>59.256571472523845</v>
      </c>
      <c r="E46" s="5">
        <f t="shared" si="3"/>
        <v>116.49484129739106</v>
      </c>
      <c r="F46" s="5">
        <f t="shared" si="4"/>
        <v>26.348098829951354</v>
      </c>
      <c r="G46" s="13" t="str">
        <f t="shared" si="5"/>
        <v/>
      </c>
      <c r="H46" s="3">
        <f t="shared" si="6"/>
        <v>7</v>
      </c>
      <c r="I46" s="16">
        <f t="shared" si="7"/>
        <v>90.376540151941597</v>
      </c>
      <c r="J46" s="5">
        <f t="shared" si="8"/>
        <v>67.19768268005275</v>
      </c>
      <c r="K46" s="5">
        <f t="shared" si="9"/>
        <v>66.492754214738682</v>
      </c>
      <c r="L46" s="5">
        <f t="shared" si="10"/>
        <v>0.86120093071719606</v>
      </c>
      <c r="M46" s="5">
        <f t="shared" si="11"/>
        <v>30.548308095251489</v>
      </c>
      <c r="N46" s="13" t="str">
        <f t="shared" si="12"/>
        <v/>
      </c>
      <c r="O46" s="5">
        <f t="shared" si="13"/>
        <v>4.2002092653001348</v>
      </c>
      <c r="P46" s="7">
        <f t="shared" si="14"/>
        <v>0.13749400628681713</v>
      </c>
    </row>
    <row r="47" spans="1:16" x14ac:dyDescent="0.15">
      <c r="A47" s="3">
        <v>8</v>
      </c>
      <c r="B47" s="16">
        <f t="shared" si="0"/>
        <v>76.423338765896759</v>
      </c>
      <c r="C47" s="5">
        <f t="shared" si="1"/>
        <v>49.277589147418588</v>
      </c>
      <c r="D47" s="5">
        <f t="shared" si="2"/>
        <v>66.327855069182874</v>
      </c>
      <c r="E47" s="5">
        <f t="shared" si="3"/>
        <v>113.0792909304672</v>
      </c>
      <c r="F47" s="5">
        <f t="shared" si="4"/>
        <v>29.559866972874413</v>
      </c>
      <c r="G47" s="13" t="str">
        <f t="shared" si="5"/>
        <v/>
      </c>
      <c r="H47" s="3">
        <f t="shared" si="6"/>
        <v>8</v>
      </c>
      <c r="I47" s="16">
        <f t="shared" si="7"/>
        <v>85.376540151941597</v>
      </c>
      <c r="J47" s="5">
        <f t="shared" si="8"/>
        <v>72.951296031682503</v>
      </c>
      <c r="K47" s="5">
        <f t="shared" si="9"/>
        <v>72.302485421973998</v>
      </c>
      <c r="L47" s="5">
        <f t="shared" si="10"/>
        <v>0.83588647931327731</v>
      </c>
      <c r="M47" s="5">
        <f t="shared" si="11"/>
        <v>33.291742380186925</v>
      </c>
      <c r="N47" s="13" t="str">
        <f t="shared" si="12"/>
        <v/>
      </c>
      <c r="O47" s="5">
        <f t="shared" si="13"/>
        <v>3.7318754073125113</v>
      </c>
      <c r="P47" s="7">
        <f t="shared" si="14"/>
        <v>0.11209612776330627</v>
      </c>
    </row>
    <row r="48" spans="1:16" x14ac:dyDescent="0.15">
      <c r="A48" s="3">
        <v>9</v>
      </c>
      <c r="B48" s="16">
        <f t="shared" si="0"/>
        <v>71.423338765896759</v>
      </c>
      <c r="C48" s="5">
        <f t="shared" si="1"/>
        <v>56.249957491819394</v>
      </c>
      <c r="D48" s="5">
        <f t="shared" si="2"/>
        <v>73.580269213317408</v>
      </c>
      <c r="E48" s="5">
        <f t="shared" si="3"/>
        <v>109.17670762498359</v>
      </c>
      <c r="F48" s="5">
        <f t="shared" si="4"/>
        <v>32.878795677006558</v>
      </c>
      <c r="G48" s="13" t="str">
        <f t="shared" si="5"/>
        <v/>
      </c>
      <c r="H48" s="3">
        <f t="shared" si="6"/>
        <v>9</v>
      </c>
      <c r="I48" s="16">
        <f t="shared" si="7"/>
        <v>80.376540151941597</v>
      </c>
      <c r="J48" s="5">
        <f t="shared" si="8"/>
        <v>78.937234328428246</v>
      </c>
      <c r="K48" s="5">
        <f t="shared" si="9"/>
        <v>78.338016115509191</v>
      </c>
      <c r="L48" s="5">
        <f t="shared" si="10"/>
        <v>0.80734377456871376</v>
      </c>
      <c r="M48" s="5">
        <f t="shared" si="11"/>
        <v>36.162783062784392</v>
      </c>
      <c r="N48" s="13" t="str">
        <f t="shared" si="12"/>
        <v/>
      </c>
      <c r="O48" s="5">
        <f t="shared" si="13"/>
        <v>3.2839873857778343</v>
      </c>
      <c r="P48" s="7">
        <f t="shared" si="14"/>
        <v>9.0811245917558542E-2</v>
      </c>
    </row>
    <row r="49" spans="1:16" x14ac:dyDescent="0.15">
      <c r="A49" s="3">
        <v>10</v>
      </c>
      <c r="B49" s="16">
        <f t="shared" si="0"/>
        <v>66.423338765896759</v>
      </c>
      <c r="C49" s="5">
        <f t="shared" si="1"/>
        <v>63.444549572314408</v>
      </c>
      <c r="D49" s="5">
        <f t="shared" si="2"/>
        <v>81.012300629758911</v>
      </c>
      <c r="E49" s="5">
        <f t="shared" si="3"/>
        <v>104.75771979489832</v>
      </c>
      <c r="F49" s="5">
        <f t="shared" si="4"/>
        <v>36.309644931968656</v>
      </c>
      <c r="G49" s="13" t="str">
        <f t="shared" si="5"/>
        <v/>
      </c>
      <c r="H49" s="3">
        <f t="shared" si="6"/>
        <v>10</v>
      </c>
      <c r="I49" s="16">
        <f t="shared" si="7"/>
        <v>75.376540151941597</v>
      </c>
      <c r="J49" s="5">
        <f t="shared" si="8"/>
        <v>85.142941195767079</v>
      </c>
      <c r="K49" s="5">
        <f t="shared" si="9"/>
        <v>84.587695564771352</v>
      </c>
      <c r="L49" s="5">
        <f t="shared" si="10"/>
        <v>0.77537799659668283</v>
      </c>
      <c r="M49" s="5">
        <f t="shared" si="11"/>
        <v>39.160684373890291</v>
      </c>
      <c r="N49" s="13" t="str">
        <f t="shared" si="12"/>
        <v/>
      </c>
      <c r="O49" s="5">
        <f t="shared" si="13"/>
        <v>2.8510394419216354</v>
      </c>
      <c r="P49" s="7">
        <f t="shared" si="14"/>
        <v>7.2803616369445184E-2</v>
      </c>
    </row>
    <row r="50" spans="1:16" x14ac:dyDescent="0.15">
      <c r="A50" s="3">
        <v>11</v>
      </c>
      <c r="B50" s="16">
        <f t="shared" si="0"/>
        <v>61.423338765896759</v>
      </c>
      <c r="C50" s="5">
        <f t="shared" si="1"/>
        <v>70.847670073964522</v>
      </c>
      <c r="D50" s="5">
        <f t="shared" si="2"/>
        <v>88.618842002521717</v>
      </c>
      <c r="E50" s="5">
        <f t="shared" si="3"/>
        <v>99.795003238969585</v>
      </c>
      <c r="F50" s="5">
        <f t="shared" si="4"/>
        <v>39.856326543249772</v>
      </c>
      <c r="G50" s="13" t="str">
        <f t="shared" si="5"/>
        <v/>
      </c>
      <c r="H50" s="3">
        <f t="shared" si="6"/>
        <v>11</v>
      </c>
      <c r="I50" s="16">
        <f t="shared" si="7"/>
        <v>70.376540151941597</v>
      </c>
      <c r="J50" s="5">
        <f t="shared" si="8"/>
        <v>91.555125860201869</v>
      </c>
      <c r="K50" s="5">
        <f t="shared" si="9"/>
        <v>91.038996461790987</v>
      </c>
      <c r="L50" s="5">
        <f t="shared" si="10"/>
        <v>0.73980866296502146</v>
      </c>
      <c r="M50" s="5">
        <f t="shared" si="11"/>
        <v>42.284880858028956</v>
      </c>
      <c r="N50" s="13" t="str">
        <f t="shared" si="12"/>
        <v/>
      </c>
      <c r="O50" s="5">
        <f t="shared" si="13"/>
        <v>2.4285543147791842</v>
      </c>
      <c r="P50" s="7">
        <f t="shared" si="14"/>
        <v>5.743315968970162E-2</v>
      </c>
    </row>
    <row r="51" spans="1:16" x14ac:dyDescent="0.15">
      <c r="A51" s="3">
        <v>12</v>
      </c>
      <c r="B51" s="16">
        <f t="shared" si="0"/>
        <v>56.423338765896759</v>
      </c>
      <c r="C51" s="5">
        <f t="shared" si="1"/>
        <v>78.445226736128987</v>
      </c>
      <c r="D51" s="5">
        <f t="shared" si="2"/>
        <v>96.392233437802687</v>
      </c>
      <c r="E51" s="5">
        <f t="shared" si="3"/>
        <v>94.263605126431358</v>
      </c>
      <c r="F51" s="5">
        <f t="shared" si="4"/>
        <v>43.522445424815679</v>
      </c>
      <c r="G51" s="13" t="str">
        <f t="shared" si="5"/>
        <v/>
      </c>
      <c r="H51" s="3">
        <f t="shared" si="6"/>
        <v>12</v>
      </c>
      <c r="I51" s="16">
        <f t="shared" si="7"/>
        <v>65.376540151941597</v>
      </c>
      <c r="J51" s="5">
        <f t="shared" si="8"/>
        <v>98.159673068117584</v>
      </c>
      <c r="K51" s="5">
        <f t="shared" si="9"/>
        <v>97.678448095433595</v>
      </c>
      <c r="L51" s="5">
        <f t="shared" si="10"/>
        <v>0.70047339003479991</v>
      </c>
      <c r="M51" s="5">
        <f t="shared" si="11"/>
        <v>45.53500350129486</v>
      </c>
      <c r="N51" s="13" t="str">
        <f t="shared" si="12"/>
        <v/>
      </c>
      <c r="O51" s="5">
        <f t="shared" si="13"/>
        <v>2.0125580764791806</v>
      </c>
      <c r="P51" s="7">
        <f t="shared" si="14"/>
        <v>4.4198043740612654E-2</v>
      </c>
    </row>
    <row r="52" spans="1:16" x14ac:dyDescent="0.15">
      <c r="A52" s="3">
        <v>13</v>
      </c>
      <c r="B52" s="16">
        <f t="shared" si="0"/>
        <v>51.423338765896759</v>
      </c>
      <c r="C52" s="5">
        <f t="shared" si="1"/>
        <v>86.222757177884532</v>
      </c>
      <c r="D52" s="5">
        <f t="shared" si="2"/>
        <v>104.32293200668691</v>
      </c>
      <c r="E52" s="5">
        <f t="shared" si="3"/>
        <v>88.141253298185319</v>
      </c>
      <c r="F52" s="5">
        <f t="shared" si="4"/>
        <v>47.311695543370298</v>
      </c>
      <c r="G52" s="13" t="str">
        <f t="shared" si="5"/>
        <v/>
      </c>
      <c r="H52" s="3">
        <f t="shared" si="6"/>
        <v>13</v>
      </c>
      <c r="I52" s="16">
        <f t="shared" si="7"/>
        <v>60.376540151941597</v>
      </c>
      <c r="J52" s="5">
        <f t="shared" si="8"/>
        <v>104.94149959273963</v>
      </c>
      <c r="K52" s="5">
        <f t="shared" si="9"/>
        <v>104.49151229772474</v>
      </c>
      <c r="L52" s="5">
        <f t="shared" si="10"/>
        <v>0.65723226181542216</v>
      </c>
      <c r="M52" s="5">
        <f t="shared" si="11"/>
        <v>48.910870619171689</v>
      </c>
      <c r="N52" s="13" t="str">
        <f t="shared" si="12"/>
        <v/>
      </c>
      <c r="O52" s="5">
        <f t="shared" si="13"/>
        <v>1.5991750758013907</v>
      </c>
      <c r="P52" s="7">
        <f t="shared" si="14"/>
        <v>3.2695698431803401E-2</v>
      </c>
    </row>
    <row r="53" spans="1:16" x14ac:dyDescent="0.15">
      <c r="A53" s="3">
        <v>14</v>
      </c>
      <c r="B53" s="16">
        <f t="shared" si="0"/>
        <v>46.423338765896759</v>
      </c>
      <c r="C53" s="5">
        <f t="shared" si="1"/>
        <v>94.16545642798927</v>
      </c>
      <c r="D53" s="5">
        <f t="shared" si="2"/>
        <v>112.39996192797894</v>
      </c>
      <c r="E53" s="5">
        <f t="shared" si="3"/>
        <v>81.40864830226495</v>
      </c>
      <c r="F53" s="5">
        <f t="shared" si="4"/>
        <v>51.228184357665597</v>
      </c>
      <c r="G53" s="13" t="str">
        <f t="shared" si="5"/>
        <v/>
      </c>
      <c r="H53" s="3">
        <f t="shared" si="6"/>
        <v>14</v>
      </c>
      <c r="I53" s="16">
        <f t="shared" si="7"/>
        <v>55.376540151941597</v>
      </c>
      <c r="J53" s="5">
        <f t="shared" si="8"/>
        <v>111.88432452086259</v>
      </c>
      <c r="K53" s="5">
        <f t="shared" si="9"/>
        <v>111.46236978901122</v>
      </c>
      <c r="L53" s="5">
        <f t="shared" si="10"/>
        <v>0.60997319637342262</v>
      </c>
      <c r="M53" s="5">
        <f t="shared" si="11"/>
        <v>52.412435086563065</v>
      </c>
      <c r="N53" s="13" t="str">
        <f t="shared" si="12"/>
        <v/>
      </c>
      <c r="O53" s="5">
        <f t="shared" si="13"/>
        <v>1.1842507288974673</v>
      </c>
      <c r="P53" s="7">
        <f t="shared" si="14"/>
        <v>2.2594842749465625E-2</v>
      </c>
    </row>
    <row r="54" spans="1:16" x14ac:dyDescent="0.15">
      <c r="A54" s="3">
        <v>15</v>
      </c>
      <c r="B54" s="16">
        <f t="shared" si="0"/>
        <v>41.423338765896759</v>
      </c>
      <c r="C54" s="5">
        <f t="shared" si="1"/>
        <v>102.25820510698713</v>
      </c>
      <c r="D54" s="5">
        <f t="shared" si="2"/>
        <v>120.61122964294053</v>
      </c>
      <c r="E54" s="5">
        <f t="shared" si="3"/>
        <v>74.049735707761016</v>
      </c>
      <c r="F54" s="5">
        <f t="shared" si="4"/>
        <v>55.276732015001969</v>
      </c>
      <c r="G54" s="13" t="str">
        <f t="shared" si="5"/>
        <v/>
      </c>
      <c r="H54" s="3">
        <f t="shared" si="6"/>
        <v>15</v>
      </c>
      <c r="I54" s="16">
        <f t="shared" si="7"/>
        <v>50.376540151941597</v>
      </c>
      <c r="J54" s="5">
        <f t="shared" si="8"/>
        <v>118.97029595060378</v>
      </c>
      <c r="K54" s="5">
        <f t="shared" si="9"/>
        <v>118.57355997045394</v>
      </c>
      <c r="L54" s="5">
        <f t="shared" si="10"/>
        <v>0.55861900709939882</v>
      </c>
      <c r="M54" s="5">
        <f t="shared" si="11"/>
        <v>56.039653413284384</v>
      </c>
      <c r="N54" s="13" t="str">
        <f t="shared" si="12"/>
        <v/>
      </c>
      <c r="O54" s="5">
        <f t="shared" si="13"/>
        <v>0.76292139828241545</v>
      </c>
      <c r="P54" s="7">
        <f t="shared" si="14"/>
        <v>1.3613956400764649E-2</v>
      </c>
    </row>
    <row r="55" spans="1:16" x14ac:dyDescent="0.15">
      <c r="A55" s="3">
        <v>16</v>
      </c>
      <c r="B55" s="16">
        <f t="shared" si="0"/>
        <v>36.423338765896759</v>
      </c>
      <c r="C55" s="5">
        <f t="shared" si="1"/>
        <v>110.48559820780592</v>
      </c>
      <c r="D55" s="5">
        <f t="shared" si="2"/>
        <v>128.94375261969449</v>
      </c>
      <c r="E55" s="5">
        <f t="shared" si="3"/>
        <v>66.051956385965497</v>
      </c>
      <c r="F55" s="5">
        <f t="shared" si="4"/>
        <v>59.463179658670398</v>
      </c>
      <c r="G55" s="13" t="str">
        <f t="shared" si="5"/>
        <v/>
      </c>
      <c r="H55" s="3">
        <f t="shared" si="6"/>
        <v>16</v>
      </c>
      <c r="I55" s="16">
        <f t="shared" si="7"/>
        <v>45.376540151941597</v>
      </c>
      <c r="J55" s="5">
        <f t="shared" si="8"/>
        <v>126.17936958358004</v>
      </c>
      <c r="K55" s="5">
        <f t="shared" si="9"/>
        <v>125.8053699728365</v>
      </c>
      <c r="L55" s="5">
        <f t="shared" si="10"/>
        <v>0.50313744558054241</v>
      </c>
      <c r="M55" s="5">
        <f t="shared" si="11"/>
        <v>59.792210278119946</v>
      </c>
      <c r="N55" s="13" t="str">
        <f t="shared" si="12"/>
        <v/>
      </c>
      <c r="O55" s="5">
        <f t="shared" si="13"/>
        <v>0.32903061944954715</v>
      </c>
      <c r="P55" s="7">
        <f t="shared" si="14"/>
        <v>5.5029010956290222E-3</v>
      </c>
    </row>
    <row r="56" spans="1:16" x14ac:dyDescent="0.15">
      <c r="A56" s="3">
        <v>17</v>
      </c>
      <c r="B56" s="16">
        <f t="shared" si="0"/>
        <v>31.423338765896759</v>
      </c>
      <c r="C56" s="5">
        <f t="shared" si="1"/>
        <v>118.83197442006369</v>
      </c>
      <c r="D56" s="5">
        <f t="shared" si="2"/>
        <v>137.38383136808062</v>
      </c>
      <c r="E56" s="5">
        <f t="shared" si="3"/>
        <v>57.40647261010303</v>
      </c>
      <c r="F56" s="5">
        <f t="shared" si="4"/>
        <v>63.79473822965533</v>
      </c>
      <c r="G56" s="13" t="str">
        <f t="shared" si="5"/>
        <v/>
      </c>
      <c r="H56" s="3">
        <f t="shared" si="6"/>
        <v>17</v>
      </c>
      <c r="I56" s="16">
        <f t="shared" si="7"/>
        <v>40.376540151941597</v>
      </c>
      <c r="J56" s="5">
        <f t="shared" si="8"/>
        <v>133.48823964004188</v>
      </c>
      <c r="K56" s="5">
        <f t="shared" si="9"/>
        <v>133.13477354804729</v>
      </c>
      <c r="L56" s="5">
        <f t="shared" si="10"/>
        <v>0.44355670058423058</v>
      </c>
      <c r="M56" s="5">
        <f t="shared" si="11"/>
        <v>63.668966194668293</v>
      </c>
      <c r="N56" s="13" t="str">
        <f t="shared" si="12"/>
        <v/>
      </c>
      <c r="O56" s="5">
        <f t="shared" si="13"/>
        <v>-0.12577203498703682</v>
      </c>
      <c r="P56" s="7">
        <f t="shared" si="14"/>
        <v>-1.9754056411484359E-3</v>
      </c>
    </row>
    <row r="57" spans="1:16" x14ac:dyDescent="0.15">
      <c r="A57" s="3">
        <v>18</v>
      </c>
      <c r="B57" s="16">
        <f t="shared" si="0"/>
        <v>26.423338765896759</v>
      </c>
      <c r="C57" s="5">
        <f t="shared" si="1"/>
        <v>127.28144594226349</v>
      </c>
      <c r="D57" s="5">
        <f t="shared" si="2"/>
        <v>145.91718308288398</v>
      </c>
      <c r="E57" s="5">
        <f t="shared" si="3"/>
        <v>48.108368004446604</v>
      </c>
      <c r="F57" s="5">
        <f t="shared" si="4"/>
        <v>68.280412843707239</v>
      </c>
      <c r="G57" s="13" t="str">
        <f t="shared" si="5"/>
        <v/>
      </c>
      <c r="H57" s="3">
        <f t="shared" si="6"/>
        <v>18</v>
      </c>
      <c r="I57" s="16">
        <f t="shared" si="7"/>
        <v>35.376540151941597</v>
      </c>
      <c r="J57" s="5">
        <f t="shared" si="8"/>
        <v>140.86841982006956</v>
      </c>
      <c r="K57" s="5">
        <f t="shared" si="9"/>
        <v>140.53351738320632</v>
      </c>
      <c r="L57" s="5">
        <f t="shared" si="10"/>
        <v>0.3799913596936883</v>
      </c>
      <c r="M57" s="5">
        <f t="shared" si="11"/>
        <v>67.666852541511432</v>
      </c>
      <c r="N57" s="13" t="str">
        <f t="shared" si="12"/>
        <v/>
      </c>
      <c r="O57" s="5">
        <f t="shared" si="13"/>
        <v>-0.61356030219580759</v>
      </c>
      <c r="P57" s="7">
        <f t="shared" si="14"/>
        <v>-9.0673687211830657E-3</v>
      </c>
    </row>
    <row r="58" spans="1:16" x14ac:dyDescent="0.15">
      <c r="A58" s="3">
        <v>19</v>
      </c>
      <c r="B58" s="16">
        <f t="shared" si="0"/>
        <v>21.423338765896759</v>
      </c>
      <c r="C58" s="5">
        <f t="shared" si="1"/>
        <v>135.81792872512619</v>
      </c>
      <c r="D58" s="5">
        <f t="shared" si="2"/>
        <v>154.52904876491186</v>
      </c>
      <c r="E58" s="5">
        <f t="shared" si="3"/>
        <v>38.156819568505739</v>
      </c>
      <c r="F58" s="5">
        <f t="shared" si="4"/>
        <v>72.931548517038607</v>
      </c>
      <c r="G58" s="13" t="str">
        <f t="shared" si="5"/>
        <v/>
      </c>
      <c r="H58" s="3">
        <f t="shared" si="6"/>
        <v>19</v>
      </c>
      <c r="I58" s="16">
        <f t="shared" si="7"/>
        <v>30.376540151941597</v>
      </c>
      <c r="J58" s="5">
        <f t="shared" si="8"/>
        <v>148.28261104985017</v>
      </c>
      <c r="K58" s="5">
        <f t="shared" si="9"/>
        <v>147.96449082551439</v>
      </c>
      <c r="L58" s="5">
        <f t="shared" si="10"/>
        <v>0.3126895972128837</v>
      </c>
      <c r="M58" s="5">
        <f t="shared" si="11"/>
        <v>71.778606906911762</v>
      </c>
      <c r="N58" s="13" t="str">
        <f t="shared" si="12"/>
        <v/>
      </c>
      <c r="O58" s="5">
        <f t="shared" si="13"/>
        <v>-1.1529416101268453</v>
      </c>
      <c r="P58" s="7">
        <f t="shared" si="14"/>
        <v>-1.6062468468105995E-2</v>
      </c>
    </row>
    <row r="59" spans="1:16" x14ac:dyDescent="0.15">
      <c r="A59" s="3">
        <v>20</v>
      </c>
      <c r="B59" s="16">
        <f t="shared" si="0"/>
        <v>16.423338765896759</v>
      </c>
      <c r="C59" s="5">
        <f t="shared" si="1"/>
        <v>144.42517308849264</v>
      </c>
      <c r="D59" s="5">
        <f t="shared" si="2"/>
        <v>163.20428163862849</v>
      </c>
      <c r="E59" s="5">
        <f t="shared" si="3"/>
        <v>27.555240210843195</v>
      </c>
      <c r="F59" s="5">
        <f t="shared" si="4"/>
        <v>77.762563442300703</v>
      </c>
      <c r="G59" s="13" t="str">
        <f t="shared" si="5"/>
        <v/>
      </c>
      <c r="H59" s="3">
        <f t="shared" si="6"/>
        <v>20</v>
      </c>
      <c r="I59" s="16">
        <f t="shared" si="7"/>
        <v>25.376540151941597</v>
      </c>
      <c r="J59" s="5">
        <f t="shared" si="8"/>
        <v>155.67736506520328</v>
      </c>
      <c r="K59" s="5">
        <f t="shared" si="9"/>
        <v>155.37438591716835</v>
      </c>
      <c r="L59" s="5">
        <f t="shared" si="10"/>
        <v>0.24212643372638051</v>
      </c>
      <c r="M59" s="5">
        <f t="shared" si="11"/>
        <v>75.98792174471599</v>
      </c>
      <c r="N59" s="13" t="str">
        <f t="shared" si="12"/>
        <v/>
      </c>
      <c r="O59" s="5">
        <f t="shared" si="13"/>
        <v>-1.7746416975847126</v>
      </c>
      <c r="P59" s="7">
        <f t="shared" si="14"/>
        <v>-2.3354260214494112E-2</v>
      </c>
    </row>
    <row r="60" spans="1:16" x14ac:dyDescent="0.15">
      <c r="H60" s="5"/>
      <c r="I60" s="5"/>
      <c r="J60" s="5"/>
      <c r="K60" s="5"/>
    </row>
    <row r="61" spans="1:16" x14ac:dyDescent="0.15">
      <c r="H61" s="5"/>
      <c r="I61" s="5"/>
      <c r="J61" s="5"/>
      <c r="K61" s="5"/>
    </row>
    <row r="62" spans="1:16" x14ac:dyDescent="0.15">
      <c r="H62" s="5"/>
      <c r="I62" s="5"/>
      <c r="J62" s="5"/>
      <c r="K62" s="5"/>
    </row>
    <row r="63" spans="1:16" x14ac:dyDescent="0.15">
      <c r="H63" s="5"/>
      <c r="I63" s="5"/>
      <c r="J63" s="5"/>
      <c r="K63" s="5"/>
    </row>
    <row r="64" spans="1:16" x14ac:dyDescent="0.15">
      <c r="H64" s="5"/>
      <c r="I64" s="5"/>
      <c r="J64" s="5"/>
      <c r="K64" s="5"/>
    </row>
    <row r="65" spans="2:11" x14ac:dyDescent="0.15">
      <c r="B65" s="16"/>
      <c r="H65" s="22"/>
      <c r="I65" s="5"/>
      <c r="J65" s="5"/>
      <c r="K65" s="5"/>
    </row>
    <row r="66" spans="2:11" x14ac:dyDescent="0.15">
      <c r="H66" s="5"/>
      <c r="I66" s="5"/>
      <c r="J66" s="5"/>
      <c r="K66" s="5"/>
    </row>
    <row r="67" spans="2:11" x14ac:dyDescent="0.15">
      <c r="H67" s="5"/>
      <c r="I67" s="5"/>
      <c r="J67" s="5"/>
      <c r="K67" s="5"/>
    </row>
    <row r="68" spans="2:11" x14ac:dyDescent="0.15">
      <c r="H68" s="5"/>
      <c r="I68" s="5"/>
      <c r="J68" s="5"/>
      <c r="K68" s="5"/>
    </row>
  </sheetData>
  <pageMargins left="0.75" right="0.75" top="1" bottom="1" header="0.5" footer="0.5"/>
  <pageSetup paperSize="9" orientation="landscape" horizontalDpi="300" verticalDpi="300" r:id="rId1"/>
  <headerFooter alignWithMargins="0">
    <oddHeader>&amp;C&amp;A</oddHeader>
    <oddFooter>&amp;CPage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0" r:id="rId4" name="Button 6">
              <controlPr defaultSize="0" print="0" autoFill="0" autoLine="0" autoPict="0" macro="[0]!SetMainStart">
                <anchor moveWithCells="1" sizeWithCells="1">
                  <from>
                    <xdr:col>0</xdr:col>
                    <xdr:colOff>133350</xdr:colOff>
                    <xdr:row>27</xdr:row>
                    <xdr:rowOff>9525</xdr:rowOff>
                  </from>
                  <to>
                    <xdr:col>3</xdr:col>
                    <xdr:colOff>428625</xdr:colOff>
                    <xdr:row>28</xdr:row>
                    <xdr:rowOff>133350</xdr:rowOff>
                  </to>
                </anchor>
              </controlPr>
            </control>
          </mc:Choice>
        </mc:AlternateContent>
        <mc:AlternateContent xmlns:mc="http://schemas.openxmlformats.org/markup-compatibility/2006">
          <mc:Choice Requires="x14">
            <control shapeId="1031" r:id="rId5" name="Button 7">
              <controlPr defaultSize="0" print="0" autoFill="0" autoLine="0" autoPict="0" macro="[0]!SetJibStart">
                <anchor moveWithCells="1" sizeWithCells="1">
                  <from>
                    <xdr:col>6</xdr:col>
                    <xdr:colOff>28575</xdr:colOff>
                    <xdr:row>26</xdr:row>
                    <xdr:rowOff>133350</xdr:rowOff>
                  </from>
                  <to>
                    <xdr:col>9</xdr:col>
                    <xdr:colOff>285750</xdr:colOff>
                    <xdr:row>28</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H27"/>
  <sheetViews>
    <sheetView workbookViewId="0">
      <selection activeCell="H25" sqref="H25"/>
    </sheetView>
  </sheetViews>
  <sheetFormatPr defaultRowHeight="12" x14ac:dyDescent="0.15"/>
  <cols>
    <col min="1" max="1" width="5.5" customWidth="1"/>
    <col min="2" max="4" width="5.875" customWidth="1"/>
  </cols>
  <sheetData>
    <row r="2" spans="1:4" ht="12.75" x14ac:dyDescent="0.2">
      <c r="A2" t="s">
        <v>47</v>
      </c>
      <c r="B2" s="15" t="s">
        <v>51</v>
      </c>
      <c r="C2" s="15" t="s">
        <v>53</v>
      </c>
      <c r="D2" s="15"/>
    </row>
    <row r="3" spans="1:4" x14ac:dyDescent="0.15">
      <c r="A3">
        <f>Sheeting!A39</f>
        <v>0</v>
      </c>
      <c r="B3" s="16">
        <f>IF(Sheeting!F39&lt;$H$25,Sheeting!F39,$H$25)</f>
        <v>4.9996031333638147</v>
      </c>
      <c r="C3" s="16">
        <f>Sheeting!M39</f>
        <v>14.999998626528766</v>
      </c>
      <c r="D3" s="16"/>
    </row>
    <row r="4" spans="1:4" x14ac:dyDescent="0.15">
      <c r="A4">
        <f>Sheeting!A40</f>
        <v>1</v>
      </c>
      <c r="B4" s="16">
        <f>IF(Sheeting!F40&lt;$H$25,Sheeting!F40,$H$25)</f>
        <v>8.4853615499449617</v>
      </c>
      <c r="C4" s="16">
        <f>Sheeting!M40</f>
        <v>16.822432634106889</v>
      </c>
      <c r="D4" s="16"/>
    </row>
    <row r="5" spans="1:4" x14ac:dyDescent="0.15">
      <c r="A5">
        <f>Sheeting!A41</f>
        <v>2</v>
      </c>
      <c r="B5" s="16">
        <f>IF(Sheeting!F41&lt;$H$25,Sheeting!F41,$H$25)</f>
        <v>11.488491549208728</v>
      </c>
      <c r="C5" s="16">
        <f>Sheeting!M41</f>
        <v>18.779334385748985</v>
      </c>
      <c r="D5" s="16"/>
    </row>
    <row r="6" spans="1:4" x14ac:dyDescent="0.15">
      <c r="A6">
        <f>Sheeting!A42</f>
        <v>3</v>
      </c>
      <c r="B6" s="16">
        <f>IF(Sheeting!F42&lt;$H$25,Sheeting!F42,$H$25)</f>
        <v>14.380595580654781</v>
      </c>
      <c r="C6" s="16">
        <f>Sheeting!M42</f>
        <v>20.869869446676137</v>
      </c>
      <c r="D6" s="16"/>
    </row>
    <row r="7" spans="1:4" x14ac:dyDescent="0.15">
      <c r="A7">
        <f>Sheeting!A43</f>
        <v>4</v>
      </c>
      <c r="B7" s="16">
        <f>IF(Sheeting!F43&lt;$H$25,Sheeting!F43,$H$25)</f>
        <v>17.273747587800589</v>
      </c>
      <c r="C7" s="16">
        <f>Sheeting!M43</f>
        <v>23.093085603709952</v>
      </c>
      <c r="D7" s="16"/>
    </row>
    <row r="8" spans="1:4" x14ac:dyDescent="0.15">
      <c r="A8">
        <f>Sheeting!A44</f>
        <v>5</v>
      </c>
      <c r="B8" s="16">
        <f>IF(Sheeting!F44&lt;$H$25,Sheeting!F44,$H$25)</f>
        <v>20.217290103171138</v>
      </c>
      <c r="C8" s="16">
        <f>Sheeting!M44</f>
        <v>25.447946025503114</v>
      </c>
      <c r="D8" s="16"/>
    </row>
    <row r="9" spans="1:4" x14ac:dyDescent="0.15">
      <c r="A9">
        <f>Sheeting!A45</f>
        <v>6</v>
      </c>
      <c r="B9" s="16">
        <f>IF(Sheeting!F45&lt;$H$25,Sheeting!F45,$H$25)</f>
        <v>23.237062470494433</v>
      </c>
      <c r="C9" s="16">
        <f>Sheeting!M45</f>
        <v>27.933374984107104</v>
      </c>
      <c r="D9" s="16"/>
    </row>
    <row r="10" spans="1:4" x14ac:dyDescent="0.15">
      <c r="A10">
        <f>Sheeting!A46</f>
        <v>7</v>
      </c>
      <c r="B10" s="16">
        <f>IF(Sheeting!F46&lt;$H$25,Sheeting!F46,$H$25)</f>
        <v>26.348098829951354</v>
      </c>
      <c r="C10" s="16">
        <f>Sheeting!M46</f>
        <v>30.548308095251489</v>
      </c>
      <c r="D10" s="16"/>
    </row>
    <row r="11" spans="1:4" x14ac:dyDescent="0.15">
      <c r="A11">
        <f>Sheeting!A47</f>
        <v>8</v>
      </c>
      <c r="B11" s="16">
        <f>IF(Sheeting!F47&lt;$H$25,Sheeting!F47,$H$25)</f>
        <v>29.559866972874413</v>
      </c>
      <c r="C11" s="16">
        <f>Sheeting!M47</f>
        <v>33.291742380186925</v>
      </c>
      <c r="D11" s="16"/>
    </row>
    <row r="12" spans="1:4" x14ac:dyDescent="0.15">
      <c r="A12">
        <f>Sheeting!A48</f>
        <v>9</v>
      </c>
      <c r="B12" s="16">
        <f>IF(Sheeting!F48&lt;$H$25,Sheeting!F48,$H$25)</f>
        <v>32.878795677006558</v>
      </c>
      <c r="C12" s="16">
        <f>Sheeting!M48</f>
        <v>36.162783062784392</v>
      </c>
      <c r="D12" s="16"/>
    </row>
    <row r="13" spans="1:4" x14ac:dyDescent="0.15">
      <c r="A13">
        <f>Sheeting!A49</f>
        <v>10</v>
      </c>
      <c r="B13" s="16">
        <f>IF(Sheeting!F49&lt;$H$25,Sheeting!F49,$H$25)</f>
        <v>36.309644931968656</v>
      </c>
      <c r="C13" s="16">
        <f>Sheeting!M49</f>
        <v>39.160684373890291</v>
      </c>
      <c r="D13" s="16"/>
    </row>
    <row r="14" spans="1:4" x14ac:dyDescent="0.15">
      <c r="A14">
        <f>Sheeting!A50</f>
        <v>11</v>
      </c>
      <c r="B14" s="16">
        <f>IF(Sheeting!F50&lt;$H$25,Sheeting!F50,$H$25)</f>
        <v>39.856326543249772</v>
      </c>
      <c r="C14" s="16">
        <f>Sheeting!M50</f>
        <v>42.284880858028956</v>
      </c>
      <c r="D14" s="16"/>
    </row>
    <row r="15" spans="1:4" x14ac:dyDescent="0.15">
      <c r="A15">
        <f>Sheeting!A51</f>
        <v>12</v>
      </c>
      <c r="B15" s="16">
        <f>IF(Sheeting!F51&lt;$H$25,Sheeting!F51,$H$25)</f>
        <v>43.522445424815679</v>
      </c>
      <c r="C15" s="16">
        <f>Sheeting!M51</f>
        <v>45.53500350129486</v>
      </c>
      <c r="D15" s="16"/>
    </row>
    <row r="16" spans="1:4" x14ac:dyDescent="0.15">
      <c r="A16">
        <f>Sheeting!A52</f>
        <v>13</v>
      </c>
      <c r="B16" s="16">
        <f>IF(Sheeting!F52&lt;$H$25,Sheeting!F52,$H$25)</f>
        <v>47.311695543370298</v>
      </c>
      <c r="C16" s="16">
        <f>Sheeting!M52</f>
        <v>48.910870619171689</v>
      </c>
      <c r="D16" s="16"/>
    </row>
    <row r="17" spans="1:8" x14ac:dyDescent="0.15">
      <c r="A17">
        <f>Sheeting!A53</f>
        <v>14</v>
      </c>
      <c r="B17" s="16">
        <f>IF(Sheeting!F53&lt;$H$25,Sheeting!F53,$H$25)</f>
        <v>51.228184357665597</v>
      </c>
      <c r="C17" s="16">
        <f>Sheeting!M53</f>
        <v>52.412435086563065</v>
      </c>
      <c r="D17" s="16"/>
    </row>
    <row r="18" spans="1:8" x14ac:dyDescent="0.15">
      <c r="A18">
        <f>Sheeting!A54</f>
        <v>15</v>
      </c>
      <c r="B18" s="16">
        <f>IF(Sheeting!F54&lt;$H$25,Sheeting!F54,$H$25)</f>
        <v>55.276732015001969</v>
      </c>
      <c r="C18" s="16">
        <f>Sheeting!M54</f>
        <v>56.039653413284384</v>
      </c>
      <c r="D18" s="16"/>
    </row>
    <row r="19" spans="1:8" x14ac:dyDescent="0.15">
      <c r="A19">
        <f>Sheeting!A55</f>
        <v>16</v>
      </c>
      <c r="B19" s="16">
        <f>IF(Sheeting!F55&lt;$H$25,Sheeting!F55,$H$25)</f>
        <v>59.463179658670398</v>
      </c>
      <c r="C19" s="16">
        <f>Sheeting!M55</f>
        <v>59.792210278119946</v>
      </c>
      <c r="D19" s="16"/>
    </row>
    <row r="20" spans="1:8" x14ac:dyDescent="0.15">
      <c r="A20">
        <f>Sheeting!A56</f>
        <v>17</v>
      </c>
      <c r="B20" s="16">
        <f>IF(Sheeting!F56&lt;$H$25,Sheeting!F56,$H$25)</f>
        <v>63.79473822965533</v>
      </c>
      <c r="C20" s="16">
        <f>Sheeting!M56</f>
        <v>63.668966194668293</v>
      </c>
      <c r="D20" s="16"/>
    </row>
    <row r="21" spans="1:8" x14ac:dyDescent="0.15">
      <c r="A21">
        <f>Sheeting!A57</f>
        <v>18</v>
      </c>
      <c r="B21" s="16">
        <f>IF(Sheeting!F57&lt;$H$25,Sheeting!F57,$H$25)</f>
        <v>68.280412843707239</v>
      </c>
      <c r="C21" s="16">
        <f>Sheeting!M57</f>
        <v>67.666852541511432</v>
      </c>
      <c r="D21" s="16"/>
    </row>
    <row r="22" spans="1:8" x14ac:dyDescent="0.15">
      <c r="A22">
        <f>Sheeting!A58</f>
        <v>19</v>
      </c>
      <c r="B22" s="16">
        <f>IF(Sheeting!F58&lt;$H$25,Sheeting!F58,$H$25)</f>
        <v>72.931548517038607</v>
      </c>
      <c r="C22" s="16">
        <f>Sheeting!M58</f>
        <v>71.778606906911762</v>
      </c>
      <c r="D22" s="16"/>
    </row>
    <row r="23" spans="1:8" x14ac:dyDescent="0.15">
      <c r="A23">
        <f>Sheeting!A59</f>
        <v>20</v>
      </c>
      <c r="B23" s="16">
        <f>IF(Sheeting!F59&lt;$H$25,Sheeting!F59,$H$25)</f>
        <v>77.762563442300703</v>
      </c>
      <c r="C23" s="16">
        <f>Sheeting!M59</f>
        <v>75.98792174471599</v>
      </c>
      <c r="D23" s="16"/>
    </row>
    <row r="24" spans="1:8" ht="6.6" customHeight="1" x14ac:dyDescent="0.15"/>
    <row r="25" spans="1:8" x14ac:dyDescent="0.15">
      <c r="A25" t="s">
        <v>56</v>
      </c>
      <c r="B25">
        <f>Sheeting!B20</f>
        <v>130</v>
      </c>
      <c r="C25">
        <f>Sheeting!H21</f>
        <v>130</v>
      </c>
      <c r="E25" t="s">
        <v>57</v>
      </c>
      <c r="H25" s="17">
        <v>80</v>
      </c>
    </row>
    <row r="26" spans="1:8" x14ac:dyDescent="0.15">
      <c r="A26" t="s">
        <v>58</v>
      </c>
      <c r="B26">
        <f>Sheeting!B21</f>
        <v>130</v>
      </c>
      <c r="C26">
        <f>Sheeting!H22</f>
        <v>130</v>
      </c>
    </row>
    <row r="27" spans="1:8" x14ac:dyDescent="0.15">
      <c r="A27" t="s">
        <v>59</v>
      </c>
      <c r="B27">
        <f>Sheeting!B23</f>
        <v>20</v>
      </c>
      <c r="C27">
        <f>Sheeting!H23</f>
        <v>10</v>
      </c>
    </row>
  </sheetData>
  <pageMargins left="0.75" right="0.75" top="1" bottom="1" header="0.5" footer="0.5"/>
  <headerFooter alignWithMargins="0">
    <oddHeader>&amp;A</oddHeader>
    <oddFooter>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Sheeting</vt:lpstr>
      <vt:lpstr>Graph</vt:lpstr>
      <vt:lpstr>AdistExit</vt:lpstr>
      <vt:lpstr>AJdistExit</vt:lpstr>
      <vt:lpstr>AMdistExit</vt:lpstr>
      <vt:lpstr>JarmRadius</vt:lpstr>
      <vt:lpstr>JdistExit</vt:lpstr>
      <vt:lpstr>MarmRadius</vt:lpstr>
      <vt:lpstr>MdistExit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dc:creator>
  <cp:lastModifiedBy>User</cp:lastModifiedBy>
  <dcterms:created xsi:type="dcterms:W3CDTF">2000-05-25T16:40:25Z</dcterms:created>
  <dcterms:modified xsi:type="dcterms:W3CDTF">2020-11-09T16:03:16Z</dcterms:modified>
</cp:coreProperties>
</file>