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3170" activeTab="0"/>
  </bookViews>
  <sheets>
    <sheet name="Torque" sheetId="1" r:id="rId1"/>
    <sheet name="Sheeting" sheetId="2" r:id="rId2"/>
  </sheets>
  <definedNames>
    <definedName name="appwind">'Torque'!$E$17</definedName>
    <definedName name="sheetspeed">'Torque'!$Q$18</definedName>
  </definedNames>
  <calcPr fullCalcOnLoad="1"/>
</workbook>
</file>

<file path=xl/sharedStrings.xml><?xml version="1.0" encoding="utf-8"?>
<sst xmlns="http://schemas.openxmlformats.org/spreadsheetml/2006/main" count="120" uniqueCount="96">
  <si>
    <t>rpm</t>
  </si>
  <si>
    <t>Torque</t>
  </si>
  <si>
    <t>RPM</t>
  </si>
  <si>
    <t>Power</t>
  </si>
  <si>
    <t>Min</t>
  </si>
  <si>
    <t>Max</t>
  </si>
  <si>
    <t>arbitrary units</t>
  </si>
  <si>
    <t>Jib area</t>
  </si>
  <si>
    <t>Mainsail area</t>
  </si>
  <si>
    <t>Jib CE</t>
  </si>
  <si>
    <t>Mainsail CE</t>
  </si>
  <si>
    <t>Jib boom pivot offset</t>
  </si>
  <si>
    <t>Jib foot</t>
  </si>
  <si>
    <t>Mainsail foot</t>
  </si>
  <si>
    <t>Jib sheet attachment radius</t>
  </si>
  <si>
    <t>Mainsail sheet attachment radius</t>
  </si>
  <si>
    <t>Jib CE lever</t>
  </si>
  <si>
    <t>Mainsail CE lever</t>
  </si>
  <si>
    <t>Jib sail force</t>
  </si>
  <si>
    <t>Mainsail force</t>
  </si>
  <si>
    <t>mm</t>
  </si>
  <si>
    <t>sq m</t>
  </si>
  <si>
    <t>m/s</t>
  </si>
  <si>
    <t>kg</t>
  </si>
  <si>
    <t>kg.cm</t>
  </si>
  <si>
    <t>Fairlead(s) for jib sheet</t>
  </si>
  <si>
    <t>Block(s) for jib sheet</t>
  </si>
  <si>
    <t>Fairlead(s) for mainsail sheet</t>
  </si>
  <si>
    <t>Block(s) for mainsail sheet</t>
  </si>
  <si>
    <t>Fairlead(s) for control line</t>
  </si>
  <si>
    <t>Block(s) for control line</t>
  </si>
  <si>
    <t>(Power)</t>
  </si>
  <si>
    <t>Block coeff. friction</t>
  </si>
  <si>
    <t>Fairlead coeff. friction</t>
  </si>
  <si>
    <t>turns</t>
  </si>
  <si>
    <t>Speed usually quoted as number of seconds to turn through 60 degrees, eg 0.15 sec, convert to rpm</t>
  </si>
  <si>
    <t>Sheeting (full in to full out) in:</t>
  </si>
  <si>
    <t>Torque usually quoted in kg-cm, convert to kg.cm if necessary</t>
  </si>
  <si>
    <t>What winch size?</t>
  </si>
  <si>
    <t>A 'block' has good ball-bearings, turns the line through 180 degrees.</t>
  </si>
  <si>
    <t>A 'fairlead' has no moving parts, turns the line through 90 degrees.</t>
  </si>
  <si>
    <t xml:space="preserve">   (Count an "S" or "C" through-deck fairlead as two fairleads.  Count a mainsheet post as one.)</t>
  </si>
  <si>
    <t>Parameters &amp; calculations</t>
  </si>
  <si>
    <t>Winch rotation (full in-out)</t>
  </si>
  <si>
    <t>Jib sail torque</t>
  </si>
  <si>
    <t>Mainsail sail torque</t>
  </si>
  <si>
    <t>Mainsail force at sheet attachment point</t>
  </si>
  <si>
    <t>Jib force at sheet attachment point</t>
  </si>
  <si>
    <t>Jib force at boom sp adjusted for friction</t>
  </si>
  <si>
    <t>Mainsail force at boom sp adjusted for friction</t>
  </si>
  <si>
    <t>Total adjusted force at sheets</t>
  </si>
  <si>
    <t>Total control line force adjusted for friction</t>
  </si>
  <si>
    <t>Minimum torque required</t>
  </si>
  <si>
    <t>kg-cm</t>
  </si>
  <si>
    <t>Arm/drum radius (effective)</t>
  </si>
  <si>
    <t>Jib Cl</t>
  </si>
  <si>
    <t>Mainsail Cl</t>
  </si>
  <si>
    <t>Winch maximum torque</t>
  </si>
  <si>
    <t>Friction due to jib sheet block(s)</t>
  </si>
  <si>
    <t>Friction due to jib sheet fairlead(s)</t>
  </si>
  <si>
    <t>Friction due to main sheet block(s)</t>
  </si>
  <si>
    <t>Friction due to main sheet fairlead(s)</t>
  </si>
  <si>
    <t>Friction due to control line block(s)</t>
  </si>
  <si>
    <t>Friction due to control line fairlead(s)</t>
  </si>
  <si>
    <t>Results</t>
  </si>
  <si>
    <t xml:space="preserve">  (Double the arm radius if you use a block on</t>
  </si>
  <si>
    <t xml:space="preserve">  the arm itself to obtain the sheeting travel you</t>
  </si>
  <si>
    <t xml:space="preserve">  need = 'effective')</t>
  </si>
  <si>
    <t>Control line travel (estimated)</t>
  </si>
  <si>
    <t>Winch no-load maximum speed</t>
  </si>
  <si>
    <t xml:space="preserve">   (sp = sheeting point)</t>
  </si>
  <si>
    <t>Jib</t>
  </si>
  <si>
    <t>Main</t>
  </si>
  <si>
    <t>IOM approx data</t>
  </si>
  <si>
    <t>IOM rig #</t>
  </si>
  <si>
    <t>(Data for the</t>
  </si>
  <si>
    <t>graph line)</t>
  </si>
  <si>
    <t>"estimate"</t>
  </si>
  <si>
    <r>
      <t>Apparent</t>
    </r>
    <r>
      <rPr>
        <sz val="10"/>
        <rFont val="Arial"/>
        <family val="0"/>
      </rPr>
      <t xml:space="preserve"> wind speed</t>
    </r>
  </si>
  <si>
    <t>Enter speed and torque of winch (drum or arm)</t>
  </si>
  <si>
    <t>Apparent wind:  very approximately, add half the boat speed to actual wind speed for on the wind, subtract boat speed for downwind</t>
  </si>
  <si>
    <t>(Set both jib and main Cl to 2.0 when downwind to</t>
  </si>
  <si>
    <t>estimate both drag and sheeting inefficiency at 45 deg)</t>
  </si>
  <si>
    <t>Sail area (sq.m)</t>
  </si>
  <si>
    <t>Sail foot (mm)</t>
  </si>
  <si>
    <t>s</t>
  </si>
  <si>
    <t>A simple macro populates the sheeting speed for a range of wind speeds</t>
  </si>
  <si>
    <t>Start</t>
  </si>
  <si>
    <t>Increment</t>
  </si>
  <si>
    <t>Wind</t>
  </si>
  <si>
    <t>Rig</t>
  </si>
  <si>
    <t>21 values are calculated and graphed when you click the 'Populate' button</t>
  </si>
  <si>
    <t>On the 'Torque' worksheet, set the rig number you want.</t>
  </si>
  <si>
    <t>On this worksheet, set the starting wind speed and the increment.</t>
  </si>
  <si>
    <t>(Temporary save from torque sheet)</t>
  </si>
  <si>
    <t>The 'Sheeting' worksheet plots a graph for a range of wind speeds.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</si>
</sst>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12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5" xfId="0" applyFill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675"/>
          <c:w val="0.904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v>RPM vs 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Torque!$D$37:$D$87</c:f>
              <c:numCache/>
            </c:numRef>
          </c:xVal>
          <c:yVal>
            <c:numRef>
              <c:f>Torque!$C$37:$C$87</c:f>
              <c:numCache/>
            </c:numRef>
          </c:yVal>
          <c:smooth val="0"/>
        </c:ser>
        <c:ser>
          <c:idx val="1"/>
          <c:order val="1"/>
          <c:tx>
            <c:v>Notional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Torque!$D$37:$D$87</c:f>
              <c:numCache/>
            </c:numRef>
          </c:xVal>
          <c:yVal>
            <c:numRef>
              <c:f>Torque!$E$37:$E$87</c:f>
              <c:numCache/>
            </c:numRef>
          </c:yVal>
          <c:smooth val="0"/>
        </c:ser>
        <c:ser>
          <c:idx val="2"/>
          <c:order val="2"/>
          <c:tx>
            <c:v>Estimate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Torque!$P$45:$P$47</c:f>
              <c:numCache/>
            </c:numRef>
          </c:xVal>
          <c:yVal>
            <c:numRef>
              <c:f>Torque!$O$45:$O$47</c:f>
              <c:numCache/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</c:valAx>
      <c:valAx>
        <c:axId val="2482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45"/>
          <c:w val="0.9212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Sheeting!$D$10</c:f>
              <c:strCache>
                <c:ptCount val="1"/>
                <c:pt idx="0">
                  <c:v>Full in/out (seconds), No.1 rig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Sheeting!$B$11:$B$31</c:f>
              <c:numCache/>
            </c:numRef>
          </c:xVal>
          <c:yVal>
            <c:numRef>
              <c:f>Sheeting!$D$11:$D$31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Apparent 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639199"/>
        <c:crosses val="autoZero"/>
        <c:crossBetween val="midCat"/>
        <c:dispUnits/>
      </c:val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Sheeting speed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095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01"/>
          <c:w val="0.4345"/>
          <c:h val="0.0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20</xdr:row>
      <xdr:rowOff>76200</xdr:rowOff>
    </xdr:from>
    <xdr:to>
      <xdr:col>20</xdr:col>
      <xdr:colOff>542925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6734175" y="3409950"/>
        <a:ext cx="4743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11</xdr:row>
      <xdr:rowOff>38100</xdr:rowOff>
    </xdr:from>
    <xdr:to>
      <xdr:col>14</xdr:col>
      <xdr:colOff>495300</xdr:colOff>
      <xdr:row>35</xdr:row>
      <xdr:rowOff>104775</xdr:rowOff>
    </xdr:to>
    <xdr:graphicFrame>
      <xdr:nvGraphicFramePr>
        <xdr:cNvPr id="1" name="Chart 4"/>
        <xdr:cNvGraphicFramePr/>
      </xdr:nvGraphicFramePr>
      <xdr:xfrm>
        <a:off x="3667125" y="18192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8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.140625" style="0" customWidth="1"/>
    <col min="2" max="5" width="9.421875" style="0" customWidth="1"/>
    <col min="6" max="6" width="6.421875" style="0" customWidth="1"/>
    <col min="7" max="7" width="3.00390625" style="0" customWidth="1"/>
    <col min="8" max="10" width="10.140625" style="0" customWidth="1"/>
    <col min="11" max="12" width="7.00390625" style="0" customWidth="1"/>
    <col min="13" max="13" width="6.28125" style="0" customWidth="1"/>
  </cols>
  <sheetData>
    <row r="1" ht="15.75">
      <c r="B1" s="19" t="s">
        <v>38</v>
      </c>
    </row>
    <row r="2" spans="18:19" ht="12.75">
      <c r="R2" s="32" t="s">
        <v>73</v>
      </c>
      <c r="S2" s="31"/>
    </row>
    <row r="3" spans="2:19" ht="12.75">
      <c r="B3" t="s">
        <v>79</v>
      </c>
      <c r="Q3" s="1">
        <v>1</v>
      </c>
      <c r="R3" s="1">
        <v>2</v>
      </c>
      <c r="S3" s="1">
        <v>3</v>
      </c>
    </row>
    <row r="4" spans="2:16" ht="12.75">
      <c r="B4" t="s">
        <v>80</v>
      </c>
      <c r="P4" t="s">
        <v>83</v>
      </c>
    </row>
    <row r="5" spans="2:19" ht="12.75">
      <c r="B5" t="s">
        <v>35</v>
      </c>
      <c r="P5" s="1" t="s">
        <v>71</v>
      </c>
      <c r="Q5">
        <v>0.25</v>
      </c>
      <c r="R5">
        <v>0.165</v>
      </c>
      <c r="S5">
        <v>0.105</v>
      </c>
    </row>
    <row r="6" spans="2:19" ht="12.75">
      <c r="B6" t="s">
        <v>37</v>
      </c>
      <c r="P6" s="1" t="s">
        <v>72</v>
      </c>
      <c r="Q6">
        <v>0.35</v>
      </c>
      <c r="R6">
        <v>0.25</v>
      </c>
      <c r="S6">
        <v>0.17</v>
      </c>
    </row>
    <row r="7" ht="12.75">
      <c r="B7" s="38" t="s">
        <v>95</v>
      </c>
    </row>
    <row r="8" ht="12.75">
      <c r="P8" t="s">
        <v>84</v>
      </c>
    </row>
    <row r="9" spans="2:19" ht="12.75">
      <c r="B9" t="s">
        <v>40</v>
      </c>
      <c r="P9" s="1" t="s">
        <v>71</v>
      </c>
      <c r="Q9">
        <v>380</v>
      </c>
      <c r="R9">
        <v>345</v>
      </c>
      <c r="S9">
        <v>295</v>
      </c>
    </row>
    <row r="10" spans="2:19" ht="12.75">
      <c r="B10" t="s">
        <v>41</v>
      </c>
      <c r="P10" s="1" t="s">
        <v>72</v>
      </c>
      <c r="Q10">
        <v>355</v>
      </c>
      <c r="R10">
        <v>345</v>
      </c>
      <c r="S10">
        <v>315</v>
      </c>
    </row>
    <row r="11" spans="2:16" ht="12.75">
      <c r="B11" t="s">
        <v>39</v>
      </c>
      <c r="P11" s="1"/>
    </row>
    <row r="13" spans="2:14" ht="12.75">
      <c r="B13" s="6" t="s">
        <v>42</v>
      </c>
      <c r="N13" s="6" t="s">
        <v>64</v>
      </c>
    </row>
    <row r="14" ht="13.5" thickBot="1"/>
    <row r="15" spans="2:18" ht="12.75">
      <c r="B15" s="9" t="s">
        <v>69</v>
      </c>
      <c r="C15" s="10"/>
      <c r="D15" s="18"/>
      <c r="E15" s="11">
        <v>54</v>
      </c>
      <c r="F15" s="12" t="s">
        <v>0</v>
      </c>
      <c r="H15" s="9" t="s">
        <v>26</v>
      </c>
      <c r="I15" s="10"/>
      <c r="J15" s="10"/>
      <c r="K15" s="10"/>
      <c r="L15" s="23">
        <v>0</v>
      </c>
      <c r="N15" s="9" t="s">
        <v>52</v>
      </c>
      <c r="O15" s="10"/>
      <c r="P15" s="10"/>
      <c r="Q15" s="28">
        <f>L53*E26/10</f>
        <v>14.79052173176889</v>
      </c>
      <c r="R15" s="12" t="s">
        <v>53</v>
      </c>
    </row>
    <row r="16" spans="2:18" ht="12.75">
      <c r="B16" s="13" t="s">
        <v>57</v>
      </c>
      <c r="C16" s="7"/>
      <c r="D16" s="7"/>
      <c r="E16" s="8">
        <v>18</v>
      </c>
      <c r="F16" s="14" t="s">
        <v>24</v>
      </c>
      <c r="H16" s="13" t="s">
        <v>25</v>
      </c>
      <c r="I16" s="7"/>
      <c r="J16" s="7"/>
      <c r="K16" s="7"/>
      <c r="L16" s="24">
        <v>2</v>
      </c>
      <c r="N16" s="13" t="s">
        <v>68</v>
      </c>
      <c r="O16" s="7"/>
      <c r="P16" s="7"/>
      <c r="Q16" s="26">
        <f>SQRT(2*E22^2)</f>
        <v>311.1269837220809</v>
      </c>
      <c r="R16" s="14" t="s">
        <v>20</v>
      </c>
    </row>
    <row r="17" spans="2:18" ht="12.75">
      <c r="B17" s="33" t="s">
        <v>78</v>
      </c>
      <c r="C17" s="7"/>
      <c r="D17" s="7"/>
      <c r="E17" s="35">
        <v>4</v>
      </c>
      <c r="F17" s="14" t="s">
        <v>22</v>
      </c>
      <c r="H17" s="13" t="s">
        <v>28</v>
      </c>
      <c r="I17" s="7"/>
      <c r="J17" s="7"/>
      <c r="K17" s="7"/>
      <c r="L17" s="24">
        <v>1</v>
      </c>
      <c r="N17" s="27" t="s">
        <v>43</v>
      </c>
      <c r="O17" s="20"/>
      <c r="P17" s="20"/>
      <c r="Q17" s="21">
        <f>Q16/(2*PI()*E26)</f>
        <v>0.3094837336790052</v>
      </c>
      <c r="R17" s="29" t="s">
        <v>34</v>
      </c>
    </row>
    <row r="18" spans="2:18" ht="12.75">
      <c r="B18" s="27" t="s">
        <v>74</v>
      </c>
      <c r="C18" s="7"/>
      <c r="D18" s="7"/>
      <c r="E18" s="8">
        <v>1</v>
      </c>
      <c r="F18" s="14"/>
      <c r="H18" s="13" t="s">
        <v>27</v>
      </c>
      <c r="I18" s="7"/>
      <c r="J18" s="7"/>
      <c r="K18" s="7"/>
      <c r="L18" s="24">
        <v>1</v>
      </c>
      <c r="N18" s="13"/>
      <c r="O18" s="7"/>
      <c r="P18" s="7"/>
      <c r="Q18" s="34">
        <f>Q17*60/LOOKUP(Q15,D37:D87,C37:C87)</f>
        <v>1.910393417771644</v>
      </c>
      <c r="R18" s="14" t="s">
        <v>85</v>
      </c>
    </row>
    <row r="19" spans="2:18" ht="15.75" thickBot="1">
      <c r="B19" s="13" t="s">
        <v>7</v>
      </c>
      <c r="C19" s="7"/>
      <c r="D19" s="7"/>
      <c r="E19" s="20">
        <f>HLOOKUP(E18,Q3:S6,3)</f>
        <v>0.25</v>
      </c>
      <c r="F19" s="14" t="s">
        <v>21</v>
      </c>
      <c r="H19" s="13" t="s">
        <v>30</v>
      </c>
      <c r="I19" s="7"/>
      <c r="J19" s="7"/>
      <c r="K19" s="7"/>
      <c r="L19" s="24">
        <v>2</v>
      </c>
      <c r="N19" s="15" t="s">
        <v>36</v>
      </c>
      <c r="O19" s="16"/>
      <c r="P19" s="16"/>
      <c r="Q19" s="30" t="str">
        <f>IF(Q15&gt;E16,"Winch stall!",CONCATENATE(FIXED(Q18,2,TRUE)," seconds"))</f>
        <v>1.91 seconds</v>
      </c>
      <c r="R19" s="17"/>
    </row>
    <row r="20" spans="2:12" ht="13.5" thickBot="1">
      <c r="B20" s="13" t="s">
        <v>12</v>
      </c>
      <c r="C20" s="7"/>
      <c r="D20" s="7"/>
      <c r="E20" s="20">
        <f>HLOOKUP(E18,Q3:S10,7)</f>
        <v>380</v>
      </c>
      <c r="F20" s="14" t="s">
        <v>20</v>
      </c>
      <c r="H20" s="15" t="s">
        <v>29</v>
      </c>
      <c r="I20" s="16"/>
      <c r="J20" s="16"/>
      <c r="K20" s="16"/>
      <c r="L20" s="25">
        <v>1</v>
      </c>
    </row>
    <row r="21" spans="2:12" ht="12.75">
      <c r="B21" s="13" t="s">
        <v>11</v>
      </c>
      <c r="C21" s="7"/>
      <c r="D21" s="7"/>
      <c r="E21" s="22">
        <v>0.25</v>
      </c>
      <c r="F21" s="14"/>
      <c r="H21" s="7"/>
      <c r="I21" s="7"/>
      <c r="J21" s="7"/>
      <c r="K21" s="7"/>
      <c r="L21" s="20"/>
    </row>
    <row r="22" spans="2:12" ht="12.75">
      <c r="B22" s="13" t="s">
        <v>14</v>
      </c>
      <c r="C22" s="7"/>
      <c r="D22" s="7"/>
      <c r="E22" s="8">
        <v>220</v>
      </c>
      <c r="F22" s="14" t="s">
        <v>20</v>
      </c>
      <c r="H22" t="s">
        <v>33</v>
      </c>
      <c r="L22" s="5">
        <v>0.1</v>
      </c>
    </row>
    <row r="23" spans="2:12" ht="12.75">
      <c r="B23" s="13" t="s">
        <v>8</v>
      </c>
      <c r="C23" s="7"/>
      <c r="D23" s="7"/>
      <c r="E23" s="20">
        <f>HLOOKUP(E18,Q3:S6,4)</f>
        <v>0.35</v>
      </c>
      <c r="F23" s="14" t="s">
        <v>21</v>
      </c>
      <c r="H23" t="s">
        <v>32</v>
      </c>
      <c r="L23" s="5">
        <v>0.025</v>
      </c>
    </row>
    <row r="24" spans="2:6" ht="12.75">
      <c r="B24" s="13" t="s">
        <v>13</v>
      </c>
      <c r="C24" s="7"/>
      <c r="D24" s="7"/>
      <c r="E24" s="20">
        <f>HLOOKUP(E18,Q3:S10,8)</f>
        <v>355</v>
      </c>
      <c r="F24" s="14" t="s">
        <v>20</v>
      </c>
    </row>
    <row r="25" spans="2:12" ht="12.75">
      <c r="B25" s="13" t="s">
        <v>15</v>
      </c>
      <c r="C25" s="7"/>
      <c r="D25" s="7"/>
      <c r="E25" s="8">
        <v>200</v>
      </c>
      <c r="F25" s="14" t="s">
        <v>20</v>
      </c>
      <c r="H25" t="s">
        <v>55</v>
      </c>
      <c r="L25" s="5">
        <v>1.5</v>
      </c>
    </row>
    <row r="26" spans="2:12" ht="12.75">
      <c r="B26" s="13" t="s">
        <v>54</v>
      </c>
      <c r="C26" s="7"/>
      <c r="D26" s="7"/>
      <c r="E26" s="8">
        <v>160</v>
      </c>
      <c r="F26" s="14" t="s">
        <v>20</v>
      </c>
      <c r="H26" t="s">
        <v>56</v>
      </c>
      <c r="L26" s="5">
        <v>1.25</v>
      </c>
    </row>
    <row r="27" spans="2:8" ht="12.75">
      <c r="B27" s="13" t="s">
        <v>65</v>
      </c>
      <c r="C27" s="7"/>
      <c r="D27" s="7"/>
      <c r="E27" s="7"/>
      <c r="F27" s="14"/>
      <c r="H27" t="s">
        <v>81</v>
      </c>
    </row>
    <row r="28" spans="2:8" ht="12.75">
      <c r="B28" s="27" t="s">
        <v>66</v>
      </c>
      <c r="C28" s="7"/>
      <c r="D28" s="7"/>
      <c r="E28" s="7"/>
      <c r="F28" s="14"/>
      <c r="H28" t="s">
        <v>82</v>
      </c>
    </row>
    <row r="29" spans="2:6" ht="12.75">
      <c r="B29" s="27" t="s">
        <v>67</v>
      </c>
      <c r="C29" s="7"/>
      <c r="D29" s="7"/>
      <c r="E29" s="7"/>
      <c r="F29" s="14"/>
    </row>
    <row r="30" spans="2:13" ht="13.5" thickBot="1">
      <c r="B30" s="15"/>
      <c r="C30" s="16"/>
      <c r="D30" s="16"/>
      <c r="E30" s="16"/>
      <c r="F30" s="17"/>
      <c r="H30" t="s">
        <v>9</v>
      </c>
      <c r="L30" s="2">
        <f>3*E20/4</f>
        <v>285</v>
      </c>
      <c r="M30" t="s">
        <v>20</v>
      </c>
    </row>
    <row r="31" spans="8:13" ht="12.75">
      <c r="H31" t="s">
        <v>16</v>
      </c>
      <c r="L31">
        <f>L30-E21*E20</f>
        <v>190</v>
      </c>
      <c r="M31" t="s">
        <v>20</v>
      </c>
    </row>
    <row r="32" spans="8:13" ht="12.75">
      <c r="H32" t="s">
        <v>18</v>
      </c>
      <c r="L32" s="3">
        <f>(1.225/9.81*E19*L25*E17^2)/2</f>
        <v>0.3746177370030581</v>
      </c>
      <c r="M32" t="s">
        <v>23</v>
      </c>
    </row>
    <row r="33" spans="2:13" ht="12.75">
      <c r="B33" t="s">
        <v>3</v>
      </c>
      <c r="D33">
        <f>(E16/2)*(E15/2)</f>
        <v>243</v>
      </c>
      <c r="E33" t="s">
        <v>6</v>
      </c>
      <c r="H33" t="s">
        <v>44</v>
      </c>
      <c r="L33" s="4">
        <f>L32*L31/10</f>
        <v>7.117737003058105</v>
      </c>
      <c r="M33" t="s">
        <v>24</v>
      </c>
    </row>
    <row r="34" spans="8:13" ht="12.75">
      <c r="H34" t="s">
        <v>47</v>
      </c>
      <c r="L34" s="3">
        <f>L33*10/E22</f>
        <v>0.3235335001390047</v>
      </c>
      <c r="M34" t="s">
        <v>23</v>
      </c>
    </row>
    <row r="35" spans="3:12" ht="12.75">
      <c r="C35" s="1" t="s">
        <v>2</v>
      </c>
      <c r="D35" s="1" t="s">
        <v>1</v>
      </c>
      <c r="E35" s="1" t="s">
        <v>31</v>
      </c>
      <c r="H35" t="s">
        <v>58</v>
      </c>
      <c r="L35" s="4">
        <f>IF(L15&gt;0,1+(EXP(PI()*$L$23)-1)*L15,1)</f>
        <v>1</v>
      </c>
    </row>
    <row r="36" spans="3:12" ht="12.75">
      <c r="C36" s="1" t="s">
        <v>4</v>
      </c>
      <c r="D36" s="1" t="s">
        <v>5</v>
      </c>
      <c r="E36" s="1"/>
      <c r="H36" t="s">
        <v>59</v>
      </c>
      <c r="L36" s="4">
        <f>IF(L16&gt;0,1+(EXP(PI()/2*$L$22)-1)*L16,1)</f>
        <v>1.3401775749928437</v>
      </c>
    </row>
    <row r="37" spans="2:13" ht="12.75">
      <c r="B37" s="4">
        <v>1</v>
      </c>
      <c r="C37" s="4">
        <f aca="true" t="shared" si="0" ref="C37:C87">B37*$E$15</f>
        <v>54</v>
      </c>
      <c r="D37" s="4">
        <f>$E$16*(1-B37)</f>
        <v>0</v>
      </c>
      <c r="E37" s="4">
        <f>(C37*D37)*($E$15/2)/$D$33</f>
        <v>0</v>
      </c>
      <c r="H37" t="s">
        <v>48</v>
      </c>
      <c r="L37" s="3">
        <f>L34*L35*L36</f>
        <v>0.43359234164523824</v>
      </c>
      <c r="M37" t="s">
        <v>23</v>
      </c>
    </row>
    <row r="38" spans="2:8" ht="12.75">
      <c r="B38" s="4">
        <f>B37-0.02</f>
        <v>0.98</v>
      </c>
      <c r="C38" s="4">
        <f t="shared" si="0"/>
        <v>52.92</v>
      </c>
      <c r="D38" s="4">
        <f>$E$16*(1-B38)</f>
        <v>0.3600000000000003</v>
      </c>
      <c r="E38" s="4">
        <f>(C38*D38)*($E$15/2)/$D$33</f>
        <v>2.1168000000000022</v>
      </c>
      <c r="H38" t="s">
        <v>70</v>
      </c>
    </row>
    <row r="39" spans="2:5" ht="12.75">
      <c r="B39" s="4">
        <f aca="true" t="shared" si="1" ref="B39:B83">B38-0.02</f>
        <v>0.96</v>
      </c>
      <c r="C39" s="4">
        <f t="shared" si="0"/>
        <v>51.839999999999996</v>
      </c>
      <c r="D39" s="4">
        <f aca="true" t="shared" si="2" ref="D39:D83">$E$16*(1-B39)</f>
        <v>0.7200000000000006</v>
      </c>
      <c r="E39" s="4">
        <f aca="true" t="shared" si="3" ref="E39:E83">(C39*D39)*($E$15/2)/$D$33</f>
        <v>4.147200000000003</v>
      </c>
    </row>
    <row r="40" spans="2:13" ht="12.75">
      <c r="B40" s="4">
        <f t="shared" si="1"/>
        <v>0.94</v>
      </c>
      <c r="C40" s="4">
        <f t="shared" si="0"/>
        <v>50.76</v>
      </c>
      <c r="D40" s="4">
        <f t="shared" si="2"/>
        <v>1.080000000000001</v>
      </c>
      <c r="E40" s="4">
        <f t="shared" si="3"/>
        <v>6.091200000000005</v>
      </c>
      <c r="H40" t="s">
        <v>10</v>
      </c>
      <c r="L40" s="2">
        <f>E24/4</f>
        <v>88.75</v>
      </c>
      <c r="M40" t="s">
        <v>20</v>
      </c>
    </row>
    <row r="41" spans="2:13" ht="12.75">
      <c r="B41" s="4">
        <f t="shared" si="1"/>
        <v>0.9199999999999999</v>
      </c>
      <c r="C41" s="4">
        <f t="shared" si="0"/>
        <v>49.67999999999999</v>
      </c>
      <c r="D41" s="4">
        <f t="shared" si="2"/>
        <v>1.4400000000000013</v>
      </c>
      <c r="E41" s="4">
        <f t="shared" si="3"/>
        <v>7.948800000000005</v>
      </c>
      <c r="H41" t="s">
        <v>17</v>
      </c>
      <c r="L41">
        <f>E25</f>
        <v>200</v>
      </c>
      <c r="M41" t="s">
        <v>20</v>
      </c>
    </row>
    <row r="42" spans="2:13" ht="12.75">
      <c r="B42" s="4">
        <f t="shared" si="1"/>
        <v>0.8999999999999999</v>
      </c>
      <c r="C42" s="4">
        <f t="shared" si="0"/>
        <v>48.599999999999994</v>
      </c>
      <c r="D42" s="4">
        <f t="shared" si="2"/>
        <v>1.8000000000000016</v>
      </c>
      <c r="E42" s="4">
        <f t="shared" si="3"/>
        <v>9.720000000000008</v>
      </c>
      <c r="H42" t="s">
        <v>19</v>
      </c>
      <c r="L42" s="3">
        <f>(1.225/9.81*E23*L26*E17^2)/2</f>
        <v>0.4370540265035678</v>
      </c>
      <c r="M42" t="s">
        <v>23</v>
      </c>
    </row>
    <row r="43" spans="2:13" ht="12.75">
      <c r="B43" s="4">
        <f t="shared" si="1"/>
        <v>0.8799999999999999</v>
      </c>
      <c r="C43" s="4">
        <f t="shared" si="0"/>
        <v>47.519999999999996</v>
      </c>
      <c r="D43" s="4">
        <f t="shared" si="2"/>
        <v>2.160000000000002</v>
      </c>
      <c r="E43" s="4">
        <f t="shared" si="3"/>
        <v>11.404800000000009</v>
      </c>
      <c r="H43" t="s">
        <v>45</v>
      </c>
      <c r="L43" s="4">
        <f>L42*L40/10</f>
        <v>3.878854485219164</v>
      </c>
      <c r="M43" t="s">
        <v>24</v>
      </c>
    </row>
    <row r="44" spans="2:13" ht="12.75">
      <c r="B44" s="4">
        <f t="shared" si="1"/>
        <v>0.8599999999999999</v>
      </c>
      <c r="C44" s="4">
        <f t="shared" si="0"/>
        <v>46.43999999999999</v>
      </c>
      <c r="D44" s="4">
        <f t="shared" si="2"/>
        <v>2.5200000000000022</v>
      </c>
      <c r="E44" s="4">
        <f t="shared" si="3"/>
        <v>13.003200000000009</v>
      </c>
      <c r="H44" t="s">
        <v>46</v>
      </c>
      <c r="L44" s="3">
        <f>L43*10/E25</f>
        <v>0.1939427242609582</v>
      </c>
      <c r="M44" t="s">
        <v>23</v>
      </c>
    </row>
    <row r="45" spans="2:18" ht="12.75">
      <c r="B45" s="4">
        <f t="shared" si="1"/>
        <v>0.8399999999999999</v>
      </c>
      <c r="C45" s="4">
        <f t="shared" si="0"/>
        <v>45.35999999999999</v>
      </c>
      <c r="D45" s="4">
        <f t="shared" si="2"/>
        <v>2.8800000000000026</v>
      </c>
      <c r="E45" s="4">
        <f t="shared" si="3"/>
        <v>14.51520000000001</v>
      </c>
      <c r="H45" t="s">
        <v>60</v>
      </c>
      <c r="L45" s="4">
        <f>IF(L17&gt;0,1+(EXP(PI()*$L$23)-1)*L17,1)</f>
        <v>1.0817064238953293</v>
      </c>
      <c r="O45">
        <v>0</v>
      </c>
      <c r="P45" s="4">
        <f>Q15</f>
        <v>14.79052173176889</v>
      </c>
      <c r="R45" t="s">
        <v>75</v>
      </c>
    </row>
    <row r="46" spans="2:18" ht="12.75">
      <c r="B46" s="4">
        <f t="shared" si="1"/>
        <v>0.8199999999999998</v>
      </c>
      <c r="C46" s="4">
        <f t="shared" si="0"/>
        <v>44.279999999999994</v>
      </c>
      <c r="D46" s="4">
        <f t="shared" si="2"/>
        <v>3.240000000000003</v>
      </c>
      <c r="E46" s="4">
        <f t="shared" si="3"/>
        <v>15.94080000000001</v>
      </c>
      <c r="H46" t="s">
        <v>61</v>
      </c>
      <c r="L46" s="4">
        <f>IF(L18&gt;0,1+(EXP(PI()/2*$L$22)-1)*L18,1)</f>
        <v>1.1700887874964219</v>
      </c>
      <c r="O46">
        <f>LOOKUP(Q15,D37:D87,C37:C87)</f>
        <v>9.719999999999967</v>
      </c>
      <c r="P46" s="4">
        <f>P45</f>
        <v>14.79052173176889</v>
      </c>
      <c r="R46" t="s">
        <v>77</v>
      </c>
    </row>
    <row r="47" spans="2:18" ht="12.75">
      <c r="B47" s="4">
        <f t="shared" si="1"/>
        <v>0.7999999999999998</v>
      </c>
      <c r="C47" s="4">
        <f t="shared" si="0"/>
        <v>43.19999999999999</v>
      </c>
      <c r="D47" s="4">
        <f t="shared" si="2"/>
        <v>3.600000000000003</v>
      </c>
      <c r="E47" s="4">
        <f t="shared" si="3"/>
        <v>17.280000000000012</v>
      </c>
      <c r="H47" t="s">
        <v>49</v>
      </c>
      <c r="L47" s="3">
        <f>L44*L45*L46</f>
        <v>0.24547186276812163</v>
      </c>
      <c r="M47" t="s">
        <v>23</v>
      </c>
      <c r="O47">
        <f>O46</f>
        <v>9.719999999999967</v>
      </c>
      <c r="P47">
        <v>0</v>
      </c>
      <c r="R47" t="s">
        <v>76</v>
      </c>
    </row>
    <row r="48" spans="2:12" ht="12.75">
      <c r="B48" s="4">
        <f t="shared" si="1"/>
        <v>0.7799999999999998</v>
      </c>
      <c r="C48" s="4">
        <f t="shared" si="0"/>
        <v>42.11999999999999</v>
      </c>
      <c r="D48" s="4">
        <f t="shared" si="2"/>
        <v>3.9600000000000035</v>
      </c>
      <c r="E48" s="4">
        <f t="shared" si="3"/>
        <v>18.532800000000012</v>
      </c>
      <c r="H48" t="s">
        <v>70</v>
      </c>
      <c r="L48" s="4"/>
    </row>
    <row r="49" spans="2:5" ht="12.75">
      <c r="B49" s="4">
        <f t="shared" si="1"/>
        <v>0.7599999999999998</v>
      </c>
      <c r="C49" s="4">
        <f t="shared" si="0"/>
        <v>41.03999999999999</v>
      </c>
      <c r="D49" s="4">
        <f t="shared" si="2"/>
        <v>4.320000000000004</v>
      </c>
      <c r="E49" s="4">
        <f t="shared" si="3"/>
        <v>19.699200000000012</v>
      </c>
    </row>
    <row r="50" spans="2:13" ht="12.75">
      <c r="B50" s="4">
        <f t="shared" si="1"/>
        <v>0.7399999999999998</v>
      </c>
      <c r="C50" s="4">
        <f t="shared" si="0"/>
        <v>39.95999999999999</v>
      </c>
      <c r="D50" s="4">
        <f t="shared" si="2"/>
        <v>4.680000000000004</v>
      </c>
      <c r="E50" s="4">
        <f t="shared" si="3"/>
        <v>20.779200000000014</v>
      </c>
      <c r="H50" t="s">
        <v>50</v>
      </c>
      <c r="L50" s="3">
        <f>L37+L47</f>
        <v>0.6790642044133599</v>
      </c>
      <c r="M50" t="s">
        <v>23</v>
      </c>
    </row>
    <row r="51" spans="2:12" ht="12.75">
      <c r="B51" s="4">
        <f t="shared" si="1"/>
        <v>0.7199999999999998</v>
      </c>
      <c r="C51" s="4">
        <f t="shared" si="0"/>
        <v>38.87999999999999</v>
      </c>
      <c r="D51" s="4">
        <f t="shared" si="2"/>
        <v>5.0400000000000045</v>
      </c>
      <c r="E51" s="4">
        <f t="shared" si="3"/>
        <v>21.77280000000001</v>
      </c>
      <c r="H51" t="s">
        <v>62</v>
      </c>
      <c r="L51" s="4">
        <f>IF(L19&gt;0,1+(EXP(PI()*$L$23)-1)*L19,1)</f>
        <v>1.1634128477906587</v>
      </c>
    </row>
    <row r="52" spans="2:12" ht="12.75">
      <c r="B52" s="4">
        <f t="shared" si="1"/>
        <v>0.6999999999999997</v>
      </c>
      <c r="C52" s="4">
        <f t="shared" si="0"/>
        <v>37.79999999999998</v>
      </c>
      <c r="D52" s="4">
        <f t="shared" si="2"/>
        <v>5.400000000000005</v>
      </c>
      <c r="E52" s="4">
        <f t="shared" si="3"/>
        <v>22.68000000000001</v>
      </c>
      <c r="H52" t="s">
        <v>63</v>
      </c>
      <c r="L52" s="4">
        <f>IF(L20&gt;0,1+(EXP(PI()/2*$L$22)-1)*L20,1)</f>
        <v>1.1700887874964219</v>
      </c>
    </row>
    <row r="53" spans="2:13" ht="12.75">
      <c r="B53" s="4">
        <f t="shared" si="1"/>
        <v>0.6799999999999997</v>
      </c>
      <c r="C53" s="4">
        <f t="shared" si="0"/>
        <v>36.719999999999985</v>
      </c>
      <c r="D53" s="4">
        <f t="shared" si="2"/>
        <v>5.760000000000005</v>
      </c>
      <c r="E53" s="4">
        <f t="shared" si="3"/>
        <v>23.500800000000012</v>
      </c>
      <c r="H53" t="s">
        <v>51</v>
      </c>
      <c r="L53" s="3">
        <f>L50*L51*L52</f>
        <v>0.9244076082355557</v>
      </c>
      <c r="M53" t="s">
        <v>23</v>
      </c>
    </row>
    <row r="54" spans="2:5" ht="12.75">
      <c r="B54" s="4">
        <f t="shared" si="1"/>
        <v>0.6599999999999997</v>
      </c>
      <c r="C54" s="4">
        <f t="shared" si="0"/>
        <v>35.639999999999986</v>
      </c>
      <c r="D54" s="4">
        <f t="shared" si="2"/>
        <v>6.120000000000005</v>
      </c>
      <c r="E54" s="4">
        <f t="shared" si="3"/>
        <v>24.23520000000001</v>
      </c>
    </row>
    <row r="55" spans="2:5" ht="12.75">
      <c r="B55" s="4">
        <f t="shared" si="1"/>
        <v>0.6399999999999997</v>
      </c>
      <c r="C55" s="4">
        <f t="shared" si="0"/>
        <v>34.55999999999998</v>
      </c>
      <c r="D55" s="4">
        <f t="shared" si="2"/>
        <v>6.480000000000006</v>
      </c>
      <c r="E55" s="4">
        <f t="shared" si="3"/>
        <v>24.883200000000006</v>
      </c>
    </row>
    <row r="56" spans="2:5" ht="12.75">
      <c r="B56" s="4">
        <f t="shared" si="1"/>
        <v>0.6199999999999997</v>
      </c>
      <c r="C56" s="4">
        <f t="shared" si="0"/>
        <v>33.47999999999998</v>
      </c>
      <c r="D56" s="4">
        <f t="shared" si="2"/>
        <v>6.840000000000006</v>
      </c>
      <c r="E56" s="4">
        <f t="shared" si="3"/>
        <v>25.444800000000008</v>
      </c>
    </row>
    <row r="57" spans="2:5" ht="12.75">
      <c r="B57" s="4">
        <f t="shared" si="1"/>
        <v>0.5999999999999996</v>
      </c>
      <c r="C57" s="4">
        <f t="shared" si="0"/>
        <v>32.39999999999998</v>
      </c>
      <c r="D57" s="4">
        <f t="shared" si="2"/>
        <v>7.200000000000006</v>
      </c>
      <c r="E57" s="4">
        <f t="shared" si="3"/>
        <v>25.92</v>
      </c>
    </row>
    <row r="58" spans="2:5" ht="12.75">
      <c r="B58" s="4">
        <f t="shared" si="1"/>
        <v>0.5799999999999996</v>
      </c>
      <c r="C58" s="4">
        <f t="shared" si="0"/>
        <v>31.31999999999998</v>
      </c>
      <c r="D58" s="4">
        <f t="shared" si="2"/>
        <v>7.560000000000007</v>
      </c>
      <c r="E58" s="4">
        <f t="shared" si="3"/>
        <v>26.308800000000005</v>
      </c>
    </row>
    <row r="59" spans="2:5" ht="12.75">
      <c r="B59" s="4">
        <f t="shared" si="1"/>
        <v>0.5599999999999996</v>
      </c>
      <c r="C59" s="4">
        <f t="shared" si="0"/>
        <v>30.23999999999998</v>
      </c>
      <c r="D59" s="4">
        <f t="shared" si="2"/>
        <v>7.920000000000007</v>
      </c>
      <c r="E59" s="4">
        <f t="shared" si="3"/>
        <v>26.611200000000007</v>
      </c>
    </row>
    <row r="60" spans="2:5" ht="12.75">
      <c r="B60" s="4">
        <f t="shared" si="1"/>
        <v>0.5399999999999996</v>
      </c>
      <c r="C60" s="4">
        <f t="shared" si="0"/>
        <v>29.15999999999998</v>
      </c>
      <c r="D60" s="4">
        <f t="shared" si="2"/>
        <v>8.280000000000008</v>
      </c>
      <c r="E60" s="4">
        <f t="shared" si="3"/>
        <v>26.82720000000001</v>
      </c>
    </row>
    <row r="61" spans="2:5" ht="12.75">
      <c r="B61" s="4">
        <f t="shared" si="1"/>
        <v>0.5199999999999996</v>
      </c>
      <c r="C61" s="4">
        <f t="shared" si="0"/>
        <v>28.079999999999977</v>
      </c>
      <c r="D61" s="4">
        <f t="shared" si="2"/>
        <v>8.640000000000008</v>
      </c>
      <c r="E61" s="4">
        <f t="shared" si="3"/>
        <v>26.9568</v>
      </c>
    </row>
    <row r="62" spans="2:5" ht="12.75">
      <c r="B62" s="4">
        <f t="shared" si="1"/>
        <v>0.49999999999999956</v>
      </c>
      <c r="C62" s="4">
        <f t="shared" si="0"/>
        <v>26.999999999999975</v>
      </c>
      <c r="D62" s="4">
        <f t="shared" si="2"/>
        <v>9.000000000000007</v>
      </c>
      <c r="E62" s="4">
        <f t="shared" si="3"/>
        <v>26.999999999999996</v>
      </c>
    </row>
    <row r="63" spans="2:5" ht="12.75">
      <c r="B63" s="4">
        <f t="shared" si="1"/>
        <v>0.47999999999999954</v>
      </c>
      <c r="C63" s="4">
        <f t="shared" si="0"/>
        <v>25.919999999999973</v>
      </c>
      <c r="D63" s="4">
        <f t="shared" si="2"/>
        <v>9.360000000000008</v>
      </c>
      <c r="E63" s="4">
        <f t="shared" si="3"/>
        <v>26.956799999999998</v>
      </c>
    </row>
    <row r="64" spans="2:5" ht="12.75">
      <c r="B64" s="4">
        <f t="shared" si="1"/>
        <v>0.4599999999999995</v>
      </c>
      <c r="C64" s="4">
        <f t="shared" si="0"/>
        <v>24.839999999999975</v>
      </c>
      <c r="D64" s="4">
        <f t="shared" si="2"/>
        <v>9.72000000000001</v>
      </c>
      <c r="E64" s="4">
        <f t="shared" si="3"/>
        <v>26.827199999999998</v>
      </c>
    </row>
    <row r="65" spans="2:5" ht="12.75">
      <c r="B65" s="4">
        <f t="shared" si="1"/>
        <v>0.4399999999999995</v>
      </c>
      <c r="C65" s="4">
        <f t="shared" si="0"/>
        <v>23.759999999999973</v>
      </c>
      <c r="D65" s="4">
        <f t="shared" si="2"/>
        <v>10.080000000000009</v>
      </c>
      <c r="E65" s="4">
        <f t="shared" si="3"/>
        <v>26.611199999999993</v>
      </c>
    </row>
    <row r="66" spans="2:5" ht="12.75">
      <c r="B66" s="4">
        <f t="shared" si="1"/>
        <v>0.4199999999999995</v>
      </c>
      <c r="C66" s="4">
        <f t="shared" si="0"/>
        <v>22.67999999999997</v>
      </c>
      <c r="D66" s="4">
        <f t="shared" si="2"/>
        <v>10.440000000000008</v>
      </c>
      <c r="E66" s="4">
        <f t="shared" si="3"/>
        <v>26.308799999999987</v>
      </c>
    </row>
    <row r="67" spans="2:5" ht="12.75">
      <c r="B67" s="4">
        <f t="shared" si="1"/>
        <v>0.39999999999999947</v>
      </c>
      <c r="C67" s="4">
        <f t="shared" si="0"/>
        <v>21.599999999999973</v>
      </c>
      <c r="D67" s="4">
        <f t="shared" si="2"/>
        <v>10.80000000000001</v>
      </c>
      <c r="E67" s="4">
        <f t="shared" si="3"/>
        <v>25.91999999999999</v>
      </c>
    </row>
    <row r="68" spans="2:5" ht="12.75">
      <c r="B68" s="4">
        <f t="shared" si="1"/>
        <v>0.37999999999999945</v>
      </c>
      <c r="C68" s="4">
        <f t="shared" si="0"/>
        <v>20.51999999999997</v>
      </c>
      <c r="D68" s="4">
        <f t="shared" si="2"/>
        <v>11.16000000000001</v>
      </c>
      <c r="E68" s="4">
        <f t="shared" si="3"/>
        <v>25.44479999999999</v>
      </c>
    </row>
    <row r="69" spans="2:5" ht="12.75">
      <c r="B69" s="4">
        <f t="shared" si="1"/>
        <v>0.35999999999999943</v>
      </c>
      <c r="C69" s="4">
        <f t="shared" si="0"/>
        <v>19.43999999999997</v>
      </c>
      <c r="D69" s="4">
        <f t="shared" si="2"/>
        <v>11.52000000000001</v>
      </c>
      <c r="E69" s="4">
        <f t="shared" si="3"/>
        <v>24.883199999999984</v>
      </c>
    </row>
    <row r="70" spans="2:5" ht="12.75">
      <c r="B70" s="4">
        <f t="shared" si="1"/>
        <v>0.3399999999999994</v>
      </c>
      <c r="C70" s="4">
        <f t="shared" si="0"/>
        <v>18.359999999999967</v>
      </c>
      <c r="D70" s="4">
        <f t="shared" si="2"/>
        <v>11.88000000000001</v>
      </c>
      <c r="E70" s="4">
        <f t="shared" si="3"/>
        <v>24.235199999999978</v>
      </c>
    </row>
    <row r="71" spans="2:5" ht="12.75">
      <c r="B71" s="4">
        <f t="shared" si="1"/>
        <v>0.3199999999999994</v>
      </c>
      <c r="C71" s="4">
        <f t="shared" si="0"/>
        <v>17.279999999999966</v>
      </c>
      <c r="D71" s="4">
        <f t="shared" si="2"/>
        <v>12.24000000000001</v>
      </c>
      <c r="E71" s="4">
        <f t="shared" si="3"/>
        <v>23.50079999999997</v>
      </c>
    </row>
    <row r="72" spans="2:5" ht="12.75">
      <c r="B72" s="4">
        <f t="shared" si="1"/>
        <v>0.2999999999999994</v>
      </c>
      <c r="C72" s="4">
        <f t="shared" si="0"/>
        <v>16.199999999999967</v>
      </c>
      <c r="D72" s="4">
        <f t="shared" si="2"/>
        <v>12.600000000000012</v>
      </c>
      <c r="E72" s="4">
        <f t="shared" si="3"/>
        <v>22.67999999999998</v>
      </c>
    </row>
    <row r="73" spans="2:5" ht="12.75">
      <c r="B73" s="4">
        <f t="shared" si="1"/>
        <v>0.27999999999999936</v>
      </c>
      <c r="C73" s="4">
        <f t="shared" si="0"/>
        <v>15.119999999999965</v>
      </c>
      <c r="D73" s="4">
        <f t="shared" si="2"/>
        <v>12.960000000000012</v>
      </c>
      <c r="E73" s="4">
        <f t="shared" si="3"/>
        <v>21.772799999999968</v>
      </c>
    </row>
    <row r="74" spans="2:5" ht="12.75">
      <c r="B74" s="4">
        <f t="shared" si="1"/>
        <v>0.25999999999999934</v>
      </c>
      <c r="C74" s="4">
        <f t="shared" si="0"/>
        <v>14.039999999999964</v>
      </c>
      <c r="D74" s="4">
        <f t="shared" si="2"/>
        <v>13.320000000000011</v>
      </c>
      <c r="E74" s="4">
        <f t="shared" si="3"/>
        <v>20.77919999999996</v>
      </c>
    </row>
    <row r="75" spans="2:5" ht="12.75">
      <c r="B75" s="4">
        <f t="shared" si="1"/>
        <v>0.23999999999999935</v>
      </c>
      <c r="C75" s="4">
        <f t="shared" si="0"/>
        <v>12.959999999999965</v>
      </c>
      <c r="D75" s="4">
        <f t="shared" si="2"/>
        <v>13.680000000000012</v>
      </c>
      <c r="E75" s="4">
        <f t="shared" si="3"/>
        <v>19.699199999999966</v>
      </c>
    </row>
    <row r="76" spans="2:5" ht="12.75">
      <c r="B76" s="4">
        <f t="shared" si="1"/>
        <v>0.21999999999999936</v>
      </c>
      <c r="C76" s="4">
        <f t="shared" si="0"/>
        <v>11.879999999999965</v>
      </c>
      <c r="D76" s="4">
        <f t="shared" si="2"/>
        <v>14.040000000000013</v>
      </c>
      <c r="E76" s="4">
        <f t="shared" si="3"/>
        <v>18.532799999999963</v>
      </c>
    </row>
    <row r="77" spans="2:5" ht="12.75">
      <c r="B77" s="4">
        <f t="shared" si="1"/>
        <v>0.19999999999999937</v>
      </c>
      <c r="C77" s="4">
        <f t="shared" si="0"/>
        <v>10.799999999999967</v>
      </c>
      <c r="D77" s="4">
        <f t="shared" si="2"/>
        <v>14.400000000000011</v>
      </c>
      <c r="E77" s="4">
        <f t="shared" si="3"/>
        <v>17.27999999999996</v>
      </c>
    </row>
    <row r="78" spans="2:5" ht="12.75">
      <c r="B78" s="4">
        <f t="shared" si="1"/>
        <v>0.17999999999999938</v>
      </c>
      <c r="C78" s="4">
        <f t="shared" si="0"/>
        <v>9.719999999999967</v>
      </c>
      <c r="D78" s="4">
        <f t="shared" si="2"/>
        <v>14.76000000000001</v>
      </c>
      <c r="E78" s="4">
        <f t="shared" si="3"/>
        <v>15.940799999999959</v>
      </c>
    </row>
    <row r="79" spans="2:5" ht="12.75">
      <c r="B79" s="4">
        <f t="shared" si="1"/>
        <v>0.1599999999999994</v>
      </c>
      <c r="C79" s="4">
        <f t="shared" si="0"/>
        <v>8.639999999999967</v>
      </c>
      <c r="D79" s="4">
        <f t="shared" si="2"/>
        <v>15.120000000000012</v>
      </c>
      <c r="E79" s="4">
        <f t="shared" si="3"/>
        <v>14.515199999999956</v>
      </c>
    </row>
    <row r="80" spans="2:5" ht="12.75">
      <c r="B80" s="4">
        <f t="shared" si="1"/>
        <v>0.1399999999999994</v>
      </c>
      <c r="C80" s="4">
        <f t="shared" si="0"/>
        <v>7.559999999999968</v>
      </c>
      <c r="D80" s="4">
        <f t="shared" si="2"/>
        <v>15.48000000000001</v>
      </c>
      <c r="E80" s="4">
        <f t="shared" si="3"/>
        <v>13.003199999999952</v>
      </c>
    </row>
    <row r="81" spans="2:5" ht="12.75">
      <c r="B81" s="4">
        <f t="shared" si="1"/>
        <v>0.1199999999999994</v>
      </c>
      <c r="C81" s="4">
        <f t="shared" si="0"/>
        <v>6.479999999999968</v>
      </c>
      <c r="D81" s="4">
        <f t="shared" si="2"/>
        <v>15.84000000000001</v>
      </c>
      <c r="E81" s="4">
        <f t="shared" si="3"/>
        <v>11.40479999999995</v>
      </c>
    </row>
    <row r="82" spans="2:5" ht="12.75">
      <c r="B82" s="4">
        <f t="shared" si="1"/>
        <v>0.0999999999999994</v>
      </c>
      <c r="C82" s="4">
        <f t="shared" si="0"/>
        <v>5.3999999999999675</v>
      </c>
      <c r="D82" s="4">
        <f t="shared" si="2"/>
        <v>16.20000000000001</v>
      </c>
      <c r="E82" s="4">
        <f t="shared" si="3"/>
        <v>9.719999999999946</v>
      </c>
    </row>
    <row r="83" spans="2:5" ht="12.75">
      <c r="B83" s="4">
        <f t="shared" si="1"/>
        <v>0.07999999999999939</v>
      </c>
      <c r="C83" s="4">
        <f t="shared" si="0"/>
        <v>4.319999999999967</v>
      </c>
      <c r="D83" s="4">
        <f t="shared" si="2"/>
        <v>16.56000000000001</v>
      </c>
      <c r="E83" s="4">
        <f t="shared" si="3"/>
        <v>7.948799999999944</v>
      </c>
    </row>
    <row r="84" spans="2:5" ht="12.75">
      <c r="B84" s="4">
        <f>B83-0.02</f>
        <v>0.05999999999999939</v>
      </c>
      <c r="C84" s="4">
        <f t="shared" si="0"/>
        <v>3.239999999999967</v>
      </c>
      <c r="D84" s="4">
        <f>$E$16*(1-B84)</f>
        <v>16.920000000000012</v>
      </c>
      <c r="E84" s="4">
        <f>(C84*D84)*($E$15/2)/$D$33</f>
        <v>6.091199999999943</v>
      </c>
    </row>
    <row r="85" spans="2:15" ht="12.75">
      <c r="B85" s="4">
        <f>B84-0.02</f>
        <v>0.03999999999999938</v>
      </c>
      <c r="C85" s="4">
        <f t="shared" si="0"/>
        <v>2.159999999999967</v>
      </c>
      <c r="D85" s="4">
        <f>$E$16*(1-B85)</f>
        <v>17.280000000000012</v>
      </c>
      <c r="E85" s="4">
        <f>(C85*D85)*($E$15/2)/$D$33</f>
        <v>4.1471999999999385</v>
      </c>
      <c r="O85" s="4"/>
    </row>
    <row r="86" spans="2:15" ht="12.75">
      <c r="B86" s="4">
        <f>B85-0.02</f>
        <v>0.019999999999999383</v>
      </c>
      <c r="C86" s="4">
        <f t="shared" si="0"/>
        <v>1.0799999999999668</v>
      </c>
      <c r="D86" s="4">
        <f>$E$16*(1-B86)</f>
        <v>17.64000000000001</v>
      </c>
      <c r="E86" s="4">
        <f>(C86*D86)*($E$15/2)/$D$33</f>
        <v>2.116799999999936</v>
      </c>
      <c r="O86" s="3"/>
    </row>
    <row r="87" spans="2:5" ht="12.75">
      <c r="B87" s="4">
        <v>0</v>
      </c>
      <c r="C87" s="4">
        <f t="shared" si="0"/>
        <v>0</v>
      </c>
      <c r="D87" s="4">
        <f>$E$16*(1-B87)</f>
        <v>18</v>
      </c>
      <c r="E87" s="4">
        <f>(C87*D87)*($E$15/2)/$D$33</f>
        <v>0</v>
      </c>
    </row>
    <row r="88" spans="3:4" ht="12.75">
      <c r="C88" s="1" t="s">
        <v>5</v>
      </c>
      <c r="D88" s="1" t="s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1"/>
  <sheetViews>
    <sheetView workbookViewId="0" topLeftCell="A1">
      <selection activeCell="B6" sqref="B6"/>
    </sheetView>
  </sheetViews>
  <sheetFormatPr defaultColWidth="9.140625" defaultRowHeight="12.75"/>
  <cols>
    <col min="1" max="1" width="17.140625" style="0" customWidth="1"/>
  </cols>
  <sheetData>
    <row r="1" ht="12.75">
      <c r="A1" t="s">
        <v>86</v>
      </c>
    </row>
    <row r="2" ht="12.75">
      <c r="A2" t="s">
        <v>92</v>
      </c>
    </row>
    <row r="3" ht="12.75">
      <c r="A3" t="s">
        <v>93</v>
      </c>
    </row>
    <row r="4" ht="12.75">
      <c r="A4" t="s">
        <v>91</v>
      </c>
    </row>
    <row r="6" spans="1:7" ht="12.75">
      <c r="A6" t="s">
        <v>87</v>
      </c>
      <c r="B6" s="35">
        <v>0</v>
      </c>
      <c r="F6">
        <v>4</v>
      </c>
      <c r="G6" t="s">
        <v>94</v>
      </c>
    </row>
    <row r="7" spans="1:2" ht="12.75">
      <c r="A7" t="s">
        <v>88</v>
      </c>
      <c r="B7" s="35">
        <v>0.2</v>
      </c>
    </row>
    <row r="8" spans="1:2" ht="12.75">
      <c r="A8" t="s">
        <v>90</v>
      </c>
      <c r="B8" s="36">
        <f>Torque!E18</f>
        <v>1</v>
      </c>
    </row>
    <row r="10" spans="2:4" ht="12.75">
      <c r="B10" t="s">
        <v>89</v>
      </c>
      <c r="D10" t="str">
        <f>CONCATENATE("Full in/out (seconds), No.",FIXED(B8,0,TRUE)," rig")</f>
        <v>Full in/out (seconds), No.1 rig</v>
      </c>
    </row>
    <row r="11" spans="2:4" ht="12.75">
      <c r="B11">
        <f>B6</f>
        <v>0</v>
      </c>
      <c r="C11" s="34">
        <v>0.34387081519889473</v>
      </c>
      <c r="D11" s="37">
        <f>IF(ISERROR(C11),NA(),C11)</f>
        <v>0.34387081519889473</v>
      </c>
    </row>
    <row r="12" spans="2:4" ht="12.75">
      <c r="B12">
        <f>B11+$B$7</f>
        <v>0.2</v>
      </c>
      <c r="C12">
        <v>0.34387081519889473</v>
      </c>
      <c r="D12" s="37">
        <f aca="true" t="shared" si="0" ref="D12:D31">IF(ISERROR(C12),NA(),C12)</f>
        <v>0.34387081519889473</v>
      </c>
    </row>
    <row r="13" spans="2:4" ht="12.75">
      <c r="B13">
        <f aca="true" t="shared" si="1" ref="B13:B31">B12+$B$7</f>
        <v>0.4</v>
      </c>
      <c r="C13">
        <v>0.34387081519889473</v>
      </c>
      <c r="D13" s="37">
        <f t="shared" si="0"/>
        <v>0.34387081519889473</v>
      </c>
    </row>
    <row r="14" spans="2:4" ht="12.75">
      <c r="B14">
        <f t="shared" si="1"/>
        <v>0.6000000000000001</v>
      </c>
      <c r="C14">
        <v>0.34387081519889473</v>
      </c>
      <c r="D14" s="37">
        <f t="shared" si="0"/>
        <v>0.34387081519889473</v>
      </c>
    </row>
    <row r="15" spans="2:4" ht="12.75">
      <c r="B15">
        <f t="shared" si="1"/>
        <v>0.8</v>
      </c>
      <c r="C15">
        <v>0.3508885869376477</v>
      </c>
      <c r="D15" s="37">
        <f t="shared" si="0"/>
        <v>0.3508885869376477</v>
      </c>
    </row>
    <row r="16" spans="2:4" ht="12.75">
      <c r="B16">
        <f t="shared" si="1"/>
        <v>1</v>
      </c>
      <c r="C16">
        <v>0.358198765832182</v>
      </c>
      <c r="D16" s="37">
        <f t="shared" si="0"/>
        <v>0.358198765832182</v>
      </c>
    </row>
    <row r="17" spans="2:4" ht="12.75">
      <c r="B17">
        <f t="shared" si="1"/>
        <v>1.2</v>
      </c>
      <c r="C17">
        <v>0.365820016169037</v>
      </c>
      <c r="D17" s="37">
        <f t="shared" si="0"/>
        <v>0.365820016169037</v>
      </c>
    </row>
    <row r="18" spans="2:4" ht="12.75">
      <c r="B18">
        <f t="shared" si="1"/>
        <v>1.4</v>
      </c>
      <c r="C18">
        <v>0.3820786835543275</v>
      </c>
      <c r="D18" s="37">
        <f t="shared" si="0"/>
        <v>0.3820786835543275</v>
      </c>
    </row>
    <row r="19" spans="2:4" ht="12.75">
      <c r="B19">
        <f t="shared" si="1"/>
        <v>1.5999999999999999</v>
      </c>
      <c r="C19">
        <v>0.390762289998744</v>
      </c>
      <c r="D19" s="37">
        <f t="shared" si="0"/>
        <v>0.390762289998744</v>
      </c>
    </row>
    <row r="20" spans="2:4" ht="12.75">
      <c r="B20">
        <f t="shared" si="1"/>
        <v>1.7999999999999998</v>
      </c>
      <c r="C20">
        <v>0.40937001809392237</v>
      </c>
      <c r="D20" s="37">
        <f t="shared" si="0"/>
        <v>0.40937001809392237</v>
      </c>
    </row>
    <row r="21" spans="2:4" ht="12.75">
      <c r="B21">
        <f t="shared" si="1"/>
        <v>1.9999999999999998</v>
      </c>
      <c r="C21">
        <v>0.4298385189986185</v>
      </c>
      <c r="D21" s="37">
        <f t="shared" si="0"/>
        <v>0.4298385189986185</v>
      </c>
    </row>
    <row r="22" spans="2:4" ht="12.75">
      <c r="B22">
        <f t="shared" si="1"/>
        <v>2.1999999999999997</v>
      </c>
      <c r="C22">
        <v>0.4524615989459142</v>
      </c>
      <c r="D22" s="37">
        <f t="shared" si="0"/>
        <v>0.4524615989459142</v>
      </c>
    </row>
    <row r="23" spans="2:4" ht="12.75">
      <c r="B23">
        <f t="shared" si="1"/>
        <v>2.4</v>
      </c>
      <c r="C23">
        <v>0.4775983544429095</v>
      </c>
      <c r="D23" s="37">
        <f t="shared" si="0"/>
        <v>0.4775983544429095</v>
      </c>
    </row>
    <row r="24" spans="2:4" ht="12.75">
      <c r="B24">
        <f t="shared" si="1"/>
        <v>2.6</v>
      </c>
      <c r="C24">
        <v>0.5210163866649922</v>
      </c>
      <c r="D24" s="37">
        <f t="shared" si="0"/>
        <v>0.5210163866649922</v>
      </c>
    </row>
    <row r="25" spans="2:4" ht="12.75">
      <c r="B25">
        <f t="shared" si="1"/>
        <v>2.8000000000000003</v>
      </c>
      <c r="C25">
        <v>0.5731180253314916</v>
      </c>
      <c r="D25" s="37">
        <f t="shared" si="0"/>
        <v>0.5731180253314916</v>
      </c>
    </row>
    <row r="26" spans="2:4" ht="12.75">
      <c r="B26">
        <f t="shared" si="1"/>
        <v>3.0000000000000004</v>
      </c>
      <c r="C26">
        <v>0.6367978059238796</v>
      </c>
      <c r="D26" s="37">
        <f t="shared" si="0"/>
        <v>0.6367978059238796</v>
      </c>
    </row>
    <row r="27" spans="2:4" ht="12.75">
      <c r="B27">
        <f t="shared" si="1"/>
        <v>3.2000000000000006</v>
      </c>
      <c r="C27">
        <v>0.7163975316643647</v>
      </c>
      <c r="D27" s="37">
        <f t="shared" si="0"/>
        <v>0.7163975316643647</v>
      </c>
    </row>
    <row r="28" spans="2:4" ht="12.75">
      <c r="B28">
        <f t="shared" si="1"/>
        <v>3.400000000000001</v>
      </c>
      <c r="C28">
        <v>0.8187400361878456</v>
      </c>
      <c r="D28" s="37">
        <f t="shared" si="0"/>
        <v>0.8187400361878456</v>
      </c>
    </row>
    <row r="29" spans="2:4" ht="12.75">
      <c r="B29">
        <f t="shared" si="1"/>
        <v>3.600000000000001</v>
      </c>
      <c r="C29">
        <v>1.0113847505849862</v>
      </c>
      <c r="D29" s="37">
        <f t="shared" si="0"/>
        <v>1.0113847505849862</v>
      </c>
    </row>
    <row r="30" spans="2:4" ht="12.75">
      <c r="B30">
        <f t="shared" si="1"/>
        <v>3.800000000000001</v>
      </c>
      <c r="C30">
        <v>1.3225800584572909</v>
      </c>
      <c r="D30" s="37">
        <f t="shared" si="0"/>
        <v>1.3225800584572909</v>
      </c>
    </row>
    <row r="31" spans="2:4" ht="12.75">
      <c r="B31">
        <f t="shared" si="1"/>
        <v>4.000000000000001</v>
      </c>
      <c r="C31">
        <v>1.910393417771644</v>
      </c>
      <c r="D31" s="37">
        <f t="shared" si="0"/>
        <v>1.910393417771644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ltg</dc:creator>
  <cp:keywords/>
  <dc:description/>
  <cp:lastModifiedBy>ltg</cp:lastModifiedBy>
  <dcterms:created xsi:type="dcterms:W3CDTF">2006-01-11T20:39:37Z</dcterms:created>
  <dcterms:modified xsi:type="dcterms:W3CDTF">2006-01-24T17:23:25Z</dcterms:modified>
  <cp:category/>
  <cp:version/>
  <cp:contentType/>
  <cp:contentStatus/>
</cp:coreProperties>
</file>