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PhotographyMisc\DoF\Single number DoF\"/>
    </mc:Choice>
  </mc:AlternateContent>
  <xr:revisionPtr revIDLastSave="0" documentId="13_ncr:1_{474EBEBE-B116-4EC4-ADED-849530C1E1C4}" xr6:coauthVersionLast="47" xr6:coauthVersionMax="47" xr10:uidLastSave="{00000000-0000-0000-0000-000000000000}"/>
  <bookViews>
    <workbookView xWindow="10095" yWindow="165" windowWidth="27315" windowHeight="20745" tabRatio="682" xr2:uid="{00000000-000D-0000-FFFF-FFFF00000000}"/>
  </bookViews>
  <sheets>
    <sheet name="Near DoF estimator" sheetId="9" r:id="rId1"/>
    <sheet name="Explanation" sheetId="11" r:id="rId2"/>
    <sheet name="Check 1" sheetId="12" r:id="rId3"/>
    <sheet name="Check 2" sheetId="13" r:id="rId4"/>
  </sheets>
  <definedNames>
    <definedName name="solver_adj" localSheetId="0" hidden="1">'Near DoF estimator'!$F$41</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'Near DoF estimator'!$F$41</definedName>
    <definedName name="solver_lhs2" localSheetId="0" hidden="1">'Near DoF estimator'!$F$41</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'Near DoF estimator'!$F$46</definedName>
    <definedName name="solver_pre" localSheetId="0" hidden="1">0.000001</definedName>
    <definedName name="solver_rbv" localSheetId="0" hidden="1">1</definedName>
    <definedName name="solver_rel1" localSheetId="0" hidden="1">3</definedName>
    <definedName name="solver_rel2" localSheetId="0" hidden="1">3</definedName>
    <definedName name="solver_rhs1" localSheetId="0" hidden="1">0.05</definedName>
    <definedName name="solver_rhs2" localSheetId="0" hidden="1">0.05</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9" l="1"/>
  <c r="F40" i="9"/>
  <c r="I194" i="9"/>
  <c r="I193" i="9"/>
  <c r="I192" i="9"/>
  <c r="I191" i="9"/>
  <c r="I190" i="9"/>
  <c r="I189" i="9"/>
  <c r="I188" i="9"/>
  <c r="I187" i="9"/>
  <c r="I186" i="9"/>
  <c r="I185" i="9"/>
  <c r="I184" i="9"/>
  <c r="I183" i="9"/>
  <c r="I182" i="9"/>
  <c r="I181" i="9"/>
  <c r="I180" i="9"/>
  <c r="I179" i="9"/>
  <c r="I178" i="9"/>
  <c r="I177" i="9"/>
  <c r="I176" i="9"/>
  <c r="I175" i="9"/>
  <c r="I174" i="9"/>
  <c r="I173" i="9"/>
  <c r="I172" i="9"/>
  <c r="I171" i="9"/>
  <c r="I170" i="9"/>
  <c r="I169" i="9"/>
  <c r="I168" i="9"/>
  <c r="I167" i="9"/>
  <c r="I166" i="9"/>
  <c r="I165" i="9"/>
  <c r="I164" i="9"/>
  <c r="I163" i="9"/>
  <c r="I162" i="9"/>
  <c r="I161" i="9"/>
  <c r="I160" i="9"/>
  <c r="I159" i="9"/>
  <c r="I158" i="9"/>
  <c r="I157" i="9"/>
  <c r="I156" i="9"/>
  <c r="I155" i="9"/>
  <c r="I154" i="9"/>
  <c r="I153" i="9"/>
  <c r="I152" i="9"/>
  <c r="I151" i="9"/>
  <c r="I150" i="9"/>
  <c r="I149" i="9"/>
  <c r="I148" i="9"/>
  <c r="I147" i="9"/>
  <c r="I146" i="9"/>
  <c r="I145" i="9"/>
  <c r="I144" i="9"/>
  <c r="I143" i="9"/>
  <c r="I142" i="9"/>
  <c r="I141" i="9"/>
  <c r="I140" i="9"/>
  <c r="I139" i="9"/>
  <c r="I138" i="9"/>
  <c r="I137" i="9"/>
  <c r="I136" i="9"/>
  <c r="I135" i="9"/>
  <c r="I134" i="9"/>
  <c r="I133" i="9"/>
  <c r="I132" i="9"/>
  <c r="I131" i="9"/>
  <c r="I130" i="9"/>
  <c r="I129" i="9"/>
  <c r="I128" i="9"/>
  <c r="I127" i="9"/>
  <c r="I126" i="9"/>
  <c r="I125" i="9"/>
  <c r="I124" i="9"/>
  <c r="I123" i="9"/>
  <c r="I122" i="9"/>
  <c r="I121" i="9"/>
  <c r="I120" i="9"/>
  <c r="I119" i="9"/>
  <c r="I118" i="9"/>
  <c r="I117" i="9"/>
  <c r="I116" i="9"/>
  <c r="I115" i="9"/>
  <c r="N60" i="9"/>
  <c r="M60" i="9"/>
  <c r="L60" i="9"/>
  <c r="K60" i="9"/>
  <c r="J60" i="9"/>
  <c r="I60" i="9"/>
  <c r="H60" i="9"/>
  <c r="G60" i="9"/>
  <c r="F60" i="9"/>
  <c r="N59" i="9"/>
  <c r="M59" i="9"/>
  <c r="L59" i="9"/>
  <c r="K59" i="9"/>
  <c r="J59" i="9"/>
  <c r="I59" i="9"/>
  <c r="H59" i="9"/>
  <c r="G59" i="9"/>
  <c r="F59" i="9"/>
  <c r="N58" i="9"/>
  <c r="M58" i="9"/>
  <c r="L58" i="9"/>
  <c r="K58" i="9"/>
  <c r="J58" i="9"/>
  <c r="I58" i="9"/>
  <c r="H58" i="9"/>
  <c r="N57" i="9"/>
  <c r="M57" i="9"/>
  <c r="L57" i="9"/>
  <c r="K57" i="9"/>
  <c r="J57" i="9"/>
  <c r="I57" i="9"/>
  <c r="H57" i="9"/>
  <c r="N56" i="9"/>
  <c r="M56" i="9"/>
  <c r="L56" i="9"/>
  <c r="K56" i="9"/>
  <c r="J56" i="9"/>
  <c r="I56" i="9"/>
  <c r="H56" i="9"/>
  <c r="N55" i="9"/>
  <c r="M55" i="9"/>
  <c r="L55" i="9"/>
  <c r="K55" i="9"/>
  <c r="N54" i="9"/>
  <c r="M54" i="9"/>
  <c r="L54" i="9"/>
  <c r="K54" i="9"/>
  <c r="N53" i="9"/>
  <c r="M53" i="9"/>
  <c r="L53" i="9"/>
  <c r="K53" i="9"/>
  <c r="N52" i="9"/>
  <c r="M52" i="9"/>
  <c r="L52" i="9"/>
  <c r="K52" i="9"/>
  <c r="N51" i="9"/>
  <c r="L51" i="9"/>
  <c r="K51" i="9"/>
  <c r="J51" i="9"/>
  <c r="N50" i="9"/>
  <c r="M50" i="9"/>
  <c r="L50" i="9"/>
  <c r="K50" i="9"/>
  <c r="J50" i="9"/>
  <c r="I50" i="9"/>
  <c r="F64" i="9"/>
  <c r="G64" i="9" s="1"/>
  <c r="G65" i="9" s="1"/>
  <c r="F37" i="9"/>
  <c r="N80" i="9"/>
  <c r="N79" i="9"/>
  <c r="N78" i="9"/>
  <c r="N77" i="9"/>
  <c r="N76" i="9"/>
  <c r="N75" i="9"/>
  <c r="N74" i="9"/>
  <c r="N73" i="9"/>
  <c r="N72" i="9"/>
  <c r="N71" i="9"/>
  <c r="J100" i="9"/>
  <c r="J99" i="9"/>
  <c r="J98" i="9"/>
  <c r="J97" i="9"/>
  <c r="J96" i="9"/>
  <c r="J95" i="9"/>
  <c r="J94" i="9"/>
  <c r="J93" i="9"/>
  <c r="J92" i="9"/>
  <c r="J91" i="9"/>
  <c r="J90" i="9"/>
  <c r="J89" i="9"/>
  <c r="J88" i="9"/>
  <c r="J87" i="9"/>
  <c r="J86" i="9"/>
  <c r="J85" i="9"/>
  <c r="J84" i="9"/>
  <c r="J83" i="9"/>
  <c r="J82" i="9"/>
  <c r="J81" i="9"/>
  <c r="J80" i="9"/>
  <c r="J79" i="9"/>
  <c r="J78" i="9"/>
  <c r="J77" i="9"/>
  <c r="J76" i="9"/>
  <c r="J75" i="9"/>
  <c r="J74" i="9"/>
  <c r="J73" i="9"/>
  <c r="J72" i="9"/>
  <c r="J71" i="9"/>
  <c r="J70" i="9"/>
  <c r="H91" i="9"/>
  <c r="H90" i="9"/>
  <c r="H89" i="9"/>
  <c r="H88" i="9"/>
  <c r="H87" i="9"/>
  <c r="H86" i="9"/>
  <c r="H85" i="9"/>
  <c r="H84" i="9"/>
  <c r="H83" i="9"/>
  <c r="H82" i="9"/>
  <c r="H81" i="9"/>
  <c r="H80" i="9"/>
  <c r="H79" i="9"/>
  <c r="H78" i="9"/>
  <c r="H77" i="9"/>
  <c r="H76" i="9"/>
  <c r="H75" i="9"/>
  <c r="H74" i="9"/>
  <c r="H73" i="9"/>
  <c r="H72" i="9"/>
  <c r="H71" i="9"/>
  <c r="H70" i="9"/>
  <c r="F82" i="9"/>
  <c r="F81" i="9"/>
  <c r="F80" i="9"/>
  <c r="F79" i="9"/>
  <c r="F78" i="9"/>
  <c r="F77" i="9"/>
  <c r="F76" i="9"/>
  <c r="F75" i="9"/>
  <c r="F74" i="9"/>
  <c r="F73" i="9"/>
  <c r="F72" i="9"/>
  <c r="F71" i="9"/>
  <c r="F70" i="9"/>
  <c r="G108" i="9"/>
  <c r="M11" i="9" s="1"/>
  <c r="M87" i="9"/>
  <c r="M88" i="9" s="1"/>
  <c r="E23" i="9" s="1"/>
  <c r="D26" i="9" s="1"/>
  <c r="R129" i="9"/>
  <c r="S129" i="9"/>
  <c r="I22" i="13"/>
  <c r="F25" i="13" s="1"/>
  <c r="F31" i="13" s="1"/>
  <c r="F37" i="13" s="1"/>
  <c r="F43" i="13" s="1"/>
  <c r="F65" i="9" l="1"/>
  <c r="H64" i="9"/>
  <c r="I64" i="9" s="1"/>
  <c r="J64" i="9" s="1"/>
  <c r="K64" i="9" s="1"/>
  <c r="L64" i="9" s="1"/>
  <c r="M64" i="9" s="1"/>
  <c r="N64" i="9" s="1"/>
  <c r="E22" i="9"/>
  <c r="I24" i="13"/>
  <c r="I30" i="13" s="1"/>
  <c r="I36" i="13" s="1"/>
  <c r="I42" i="13" s="1"/>
  <c r="D25" i="13"/>
  <c r="D31" i="13" s="1"/>
  <c r="D37" i="13" s="1"/>
  <c r="D43" i="13" s="1"/>
  <c r="C25" i="13"/>
  <c r="C31" i="13" s="1"/>
  <c r="C37" i="13" s="1"/>
  <c r="E25" i="13"/>
  <c r="E31" i="13" s="1"/>
  <c r="E37" i="13" s="1"/>
  <c r="E43" i="13" s="1"/>
  <c r="G25" i="13"/>
  <c r="G31" i="13" s="1"/>
  <c r="G37" i="13" s="1"/>
  <c r="G43" i="13" s="1"/>
  <c r="H25" i="13"/>
  <c r="H31" i="13" s="1"/>
  <c r="H37" i="13" s="1"/>
  <c r="H43" i="13" s="1"/>
  <c r="I25" i="13"/>
  <c r="I31" i="13" s="1"/>
  <c r="I37" i="13" s="1"/>
  <c r="I43" i="13" s="1"/>
  <c r="C26" i="13"/>
  <c r="C32" i="13" s="1"/>
  <c r="C38" i="13" s="1"/>
  <c r="C44" i="13" s="1"/>
  <c r="D26" i="13"/>
  <c r="D32" i="13" s="1"/>
  <c r="D38" i="13" s="1"/>
  <c r="D44" i="13" s="1"/>
  <c r="C24" i="13"/>
  <c r="C30" i="13" s="1"/>
  <c r="C36" i="13" s="1"/>
  <c r="E26" i="13"/>
  <c r="E32" i="13" s="1"/>
  <c r="E38" i="13" s="1"/>
  <c r="E44" i="13" s="1"/>
  <c r="D24" i="13"/>
  <c r="D30" i="13" s="1"/>
  <c r="D36" i="13" s="1"/>
  <c r="D42" i="13" s="1"/>
  <c r="F26" i="13"/>
  <c r="F32" i="13" s="1"/>
  <c r="F38" i="13" s="1"/>
  <c r="F44" i="13" s="1"/>
  <c r="E24" i="13"/>
  <c r="E30" i="13" s="1"/>
  <c r="E36" i="13" s="1"/>
  <c r="E42" i="13" s="1"/>
  <c r="G26" i="13"/>
  <c r="G32" i="13" s="1"/>
  <c r="G38" i="13" s="1"/>
  <c r="G44" i="13" s="1"/>
  <c r="F24" i="13"/>
  <c r="F30" i="13" s="1"/>
  <c r="F36" i="13" s="1"/>
  <c r="F42" i="13" s="1"/>
  <c r="H26" i="13"/>
  <c r="H32" i="13" s="1"/>
  <c r="H38" i="13" s="1"/>
  <c r="H44" i="13" s="1"/>
  <c r="G24" i="13"/>
  <c r="G30" i="13" s="1"/>
  <c r="G36" i="13" s="1"/>
  <c r="G42" i="13" s="1"/>
  <c r="I26" i="13"/>
  <c r="I32" i="13" s="1"/>
  <c r="I38" i="13" s="1"/>
  <c r="I44" i="13" s="1"/>
  <c r="H24" i="13"/>
  <c r="H30" i="13" s="1"/>
  <c r="H36" i="13" s="1"/>
  <c r="H42" i="13" s="1"/>
  <c r="H194" i="9"/>
  <c r="H193" i="9"/>
  <c r="H192" i="9"/>
  <c r="H191" i="9"/>
  <c r="H190" i="9"/>
  <c r="H189" i="9"/>
  <c r="H188" i="9"/>
  <c r="H187" i="9"/>
  <c r="H186" i="9"/>
  <c r="H185" i="9"/>
  <c r="H184" i="9"/>
  <c r="H183" i="9"/>
  <c r="G183" i="9" s="1"/>
  <c r="H182" i="9"/>
  <c r="H181" i="9"/>
  <c r="H180" i="9"/>
  <c r="H179" i="9"/>
  <c r="H178" i="9"/>
  <c r="H177" i="9"/>
  <c r="H176" i="9"/>
  <c r="G177" i="9" s="1"/>
  <c r="H175" i="9"/>
  <c r="H174" i="9"/>
  <c r="H173" i="9"/>
  <c r="H172" i="9"/>
  <c r="H171" i="9"/>
  <c r="H170" i="9"/>
  <c r="H169" i="9"/>
  <c r="H168" i="9"/>
  <c r="H167" i="9"/>
  <c r="H166" i="9"/>
  <c r="H165" i="9"/>
  <c r="H164" i="9"/>
  <c r="H163" i="9"/>
  <c r="H162" i="9"/>
  <c r="H161" i="9"/>
  <c r="H160"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G130" i="9" s="1"/>
  <c r="H129" i="9"/>
  <c r="H128" i="9"/>
  <c r="H127" i="9"/>
  <c r="H126" i="9"/>
  <c r="H125" i="9"/>
  <c r="H124" i="9"/>
  <c r="H123" i="9"/>
  <c r="H122" i="9"/>
  <c r="H121" i="9"/>
  <c r="G121" i="9" s="1"/>
  <c r="H120" i="9"/>
  <c r="G120" i="9" s="1"/>
  <c r="H119" i="9"/>
  <c r="G119" i="9" s="1"/>
  <c r="H118" i="9"/>
  <c r="H117" i="9"/>
  <c r="H116" i="9"/>
  <c r="H115" i="9"/>
  <c r="G115" i="9" s="1"/>
  <c r="G122" i="9"/>
  <c r="H65" i="9" l="1"/>
  <c r="H21" i="9" s="1"/>
  <c r="H50" i="9" s="1"/>
  <c r="G181" i="9"/>
  <c r="G116" i="9"/>
  <c r="G118" i="9"/>
  <c r="G127" i="9"/>
  <c r="G21" i="9"/>
  <c r="G50" i="9" s="1"/>
  <c r="G132" i="9"/>
  <c r="G179" i="9"/>
  <c r="C43" i="13"/>
  <c r="M36" i="13"/>
  <c r="K36" i="13"/>
  <c r="C42" i="13"/>
  <c r="F21" i="9"/>
  <c r="G189" i="9"/>
  <c r="G131" i="9"/>
  <c r="G117" i="9"/>
  <c r="G126" i="9"/>
  <c r="G190" i="9"/>
  <c r="G124" i="9"/>
  <c r="G182" i="9"/>
  <c r="G128" i="9"/>
  <c r="G191" i="9"/>
  <c r="G180" i="9"/>
  <c r="G176" i="9"/>
  <c r="G194" i="9"/>
  <c r="G178" i="9"/>
  <c r="G193" i="9"/>
  <c r="G188" i="9"/>
  <c r="G125" i="9"/>
  <c r="G123" i="9"/>
  <c r="G129" i="9"/>
  <c r="G192" i="9"/>
  <c r="G187" i="9"/>
  <c r="G186" i="9"/>
  <c r="G185" i="9"/>
  <c r="G184" i="9"/>
  <c r="T129" i="9"/>
  <c r="L8" i="9"/>
  <c r="R22" i="9"/>
  <c r="T49" i="12"/>
  <c r="O30" i="12"/>
  <c r="O42" i="12" s="1"/>
  <c r="U37" i="12"/>
  <c r="U49" i="12" s="1"/>
  <c r="T37" i="12"/>
  <c r="S37" i="12"/>
  <c r="S49" i="12" s="1"/>
  <c r="R37" i="12"/>
  <c r="R49" i="12" s="1"/>
  <c r="Q37" i="12"/>
  <c r="Q49" i="12" s="1"/>
  <c r="P37" i="12"/>
  <c r="P49" i="12" s="1"/>
  <c r="O37" i="12"/>
  <c r="O49" i="12" s="1"/>
  <c r="U36" i="12"/>
  <c r="U48" i="12" s="1"/>
  <c r="T36" i="12"/>
  <c r="T48" i="12" s="1"/>
  <c r="S36" i="12"/>
  <c r="S48" i="12" s="1"/>
  <c r="R36" i="12"/>
  <c r="R48" i="12" s="1"/>
  <c r="Q36" i="12"/>
  <c r="Q48" i="12" s="1"/>
  <c r="P36" i="12"/>
  <c r="P48" i="12" s="1"/>
  <c r="O36" i="12"/>
  <c r="O48" i="12" s="1"/>
  <c r="U35" i="12"/>
  <c r="U47" i="12" s="1"/>
  <c r="T35" i="12"/>
  <c r="T47" i="12" s="1"/>
  <c r="S35" i="12"/>
  <c r="S47" i="12" s="1"/>
  <c r="R35" i="12"/>
  <c r="R47" i="12" s="1"/>
  <c r="Q35" i="12"/>
  <c r="Q47" i="12" s="1"/>
  <c r="P35" i="12"/>
  <c r="P47" i="12" s="1"/>
  <c r="O35" i="12"/>
  <c r="O47" i="12" s="1"/>
  <c r="U34" i="12"/>
  <c r="U46" i="12" s="1"/>
  <c r="T34" i="12"/>
  <c r="T46" i="12" s="1"/>
  <c r="S34" i="12"/>
  <c r="S46" i="12" s="1"/>
  <c r="R34" i="12"/>
  <c r="R46" i="12" s="1"/>
  <c r="Q34" i="12"/>
  <c r="Q46" i="12" s="1"/>
  <c r="P34" i="12"/>
  <c r="P46" i="12" s="1"/>
  <c r="O34" i="12"/>
  <c r="O46" i="12" s="1"/>
  <c r="U33" i="12"/>
  <c r="U45" i="12" s="1"/>
  <c r="T33" i="12"/>
  <c r="T45" i="12" s="1"/>
  <c r="S33" i="12"/>
  <c r="S45" i="12" s="1"/>
  <c r="R33" i="12"/>
  <c r="R45" i="12" s="1"/>
  <c r="Q33" i="12"/>
  <c r="Q45" i="12" s="1"/>
  <c r="P33" i="12"/>
  <c r="P45" i="12" s="1"/>
  <c r="O33" i="12"/>
  <c r="O45" i="12" s="1"/>
  <c r="U32" i="12"/>
  <c r="U44" i="12" s="1"/>
  <c r="T32" i="12"/>
  <c r="T44" i="12" s="1"/>
  <c r="S32" i="12"/>
  <c r="S44" i="12" s="1"/>
  <c r="R32" i="12"/>
  <c r="R44" i="12" s="1"/>
  <c r="Q32" i="12"/>
  <c r="Q44" i="12" s="1"/>
  <c r="P32" i="12"/>
  <c r="P44" i="12" s="1"/>
  <c r="O32" i="12"/>
  <c r="O44" i="12" s="1"/>
  <c r="U31" i="12"/>
  <c r="U43" i="12" s="1"/>
  <c r="T31" i="12"/>
  <c r="T43" i="12" s="1"/>
  <c r="S31" i="12"/>
  <c r="S43" i="12" s="1"/>
  <c r="R31" i="12"/>
  <c r="R43" i="12" s="1"/>
  <c r="Q31" i="12"/>
  <c r="Q43" i="12" s="1"/>
  <c r="P31" i="12"/>
  <c r="P43" i="12" s="1"/>
  <c r="O31" i="12"/>
  <c r="O43" i="12" s="1"/>
  <c r="U30" i="12"/>
  <c r="U42" i="12" s="1"/>
  <c r="T30" i="12"/>
  <c r="T42" i="12" s="1"/>
  <c r="S30" i="12"/>
  <c r="S42" i="12" s="1"/>
  <c r="R30" i="12"/>
  <c r="R42" i="12" s="1"/>
  <c r="Q30" i="12"/>
  <c r="Q42" i="12" s="1"/>
  <c r="P30" i="12"/>
  <c r="P42" i="12" s="1"/>
  <c r="J37" i="12"/>
  <c r="J49" i="12" s="1"/>
  <c r="I37" i="12"/>
  <c r="I49" i="12" s="1"/>
  <c r="H37" i="12"/>
  <c r="H49" i="12" s="1"/>
  <c r="G37" i="12"/>
  <c r="G49" i="12" s="1"/>
  <c r="F37" i="12"/>
  <c r="F49" i="12" s="1"/>
  <c r="E37" i="12"/>
  <c r="E49" i="12" s="1"/>
  <c r="D37" i="12"/>
  <c r="D49" i="12" s="1"/>
  <c r="C37" i="12"/>
  <c r="C49" i="12" s="1"/>
  <c r="B37" i="12"/>
  <c r="B49" i="12" s="1"/>
  <c r="J36" i="12"/>
  <c r="J48" i="12" s="1"/>
  <c r="I36" i="12"/>
  <c r="I48" i="12" s="1"/>
  <c r="H36" i="12"/>
  <c r="H48" i="12" s="1"/>
  <c r="G36" i="12"/>
  <c r="G48" i="12" s="1"/>
  <c r="F36" i="12"/>
  <c r="F48" i="12" s="1"/>
  <c r="E36" i="12"/>
  <c r="E48" i="12" s="1"/>
  <c r="D36" i="12"/>
  <c r="D48" i="12" s="1"/>
  <c r="C36" i="12"/>
  <c r="C48" i="12" s="1"/>
  <c r="B36" i="12"/>
  <c r="B48" i="12" s="1"/>
  <c r="J35" i="12"/>
  <c r="J47" i="12" s="1"/>
  <c r="I35" i="12"/>
  <c r="I47" i="12" s="1"/>
  <c r="H35" i="12"/>
  <c r="H47" i="12" s="1"/>
  <c r="G35" i="12"/>
  <c r="G47" i="12" s="1"/>
  <c r="F35" i="12"/>
  <c r="F47" i="12" s="1"/>
  <c r="E35" i="12"/>
  <c r="E47" i="12" s="1"/>
  <c r="D35" i="12"/>
  <c r="D47" i="12" s="1"/>
  <c r="C35" i="12"/>
  <c r="C47" i="12" s="1"/>
  <c r="B35" i="12"/>
  <c r="B47" i="12" s="1"/>
  <c r="J34" i="12"/>
  <c r="J46" i="12" s="1"/>
  <c r="I34" i="12"/>
  <c r="I46" i="12" s="1"/>
  <c r="H34" i="12"/>
  <c r="H46" i="12" s="1"/>
  <c r="G34" i="12"/>
  <c r="G46" i="12" s="1"/>
  <c r="F34" i="12"/>
  <c r="F46" i="12" s="1"/>
  <c r="E34" i="12"/>
  <c r="E46" i="12" s="1"/>
  <c r="D34" i="12"/>
  <c r="D46" i="12" s="1"/>
  <c r="C34" i="12"/>
  <c r="C46" i="12" s="1"/>
  <c r="B34" i="12"/>
  <c r="B46" i="12" s="1"/>
  <c r="J33" i="12"/>
  <c r="J45" i="12" s="1"/>
  <c r="I33" i="12"/>
  <c r="I45" i="12" s="1"/>
  <c r="H33" i="12"/>
  <c r="H45" i="12" s="1"/>
  <c r="G33" i="12"/>
  <c r="G45" i="12" s="1"/>
  <c r="F33" i="12"/>
  <c r="F45" i="12" s="1"/>
  <c r="E33" i="12"/>
  <c r="E45" i="12" s="1"/>
  <c r="D33" i="12"/>
  <c r="D45" i="12" s="1"/>
  <c r="C33" i="12"/>
  <c r="C45" i="12" s="1"/>
  <c r="B33" i="12"/>
  <c r="B45" i="12" s="1"/>
  <c r="J32" i="12"/>
  <c r="J44" i="12" s="1"/>
  <c r="I32" i="12"/>
  <c r="I44" i="12" s="1"/>
  <c r="H32" i="12"/>
  <c r="H44" i="12" s="1"/>
  <c r="G32" i="12"/>
  <c r="G44" i="12" s="1"/>
  <c r="F32" i="12"/>
  <c r="F44" i="12" s="1"/>
  <c r="E32" i="12"/>
  <c r="E44" i="12" s="1"/>
  <c r="D32" i="12"/>
  <c r="D44" i="12" s="1"/>
  <c r="C32" i="12"/>
  <c r="C44" i="12" s="1"/>
  <c r="B32" i="12"/>
  <c r="B44" i="12" s="1"/>
  <c r="J31" i="12"/>
  <c r="J43" i="12" s="1"/>
  <c r="I31" i="12"/>
  <c r="I43" i="12" s="1"/>
  <c r="H31" i="12"/>
  <c r="H43" i="12" s="1"/>
  <c r="G31" i="12"/>
  <c r="G43" i="12" s="1"/>
  <c r="F31" i="12"/>
  <c r="F43" i="12" s="1"/>
  <c r="E31" i="12"/>
  <c r="E43" i="12" s="1"/>
  <c r="D31" i="12"/>
  <c r="D43" i="12" s="1"/>
  <c r="C31" i="12"/>
  <c r="C43" i="12" s="1"/>
  <c r="B31" i="12"/>
  <c r="B43" i="12" s="1"/>
  <c r="J30" i="12"/>
  <c r="J42" i="12" s="1"/>
  <c r="I30" i="12"/>
  <c r="I42" i="12" s="1"/>
  <c r="H30" i="12"/>
  <c r="H42" i="12" s="1"/>
  <c r="G30" i="12"/>
  <c r="G42" i="12" s="1"/>
  <c r="F30" i="12"/>
  <c r="F42" i="12" s="1"/>
  <c r="E30" i="12"/>
  <c r="E42" i="12" s="1"/>
  <c r="D30" i="12"/>
  <c r="D42" i="12" s="1"/>
  <c r="C30" i="12"/>
  <c r="C42" i="12" s="1"/>
  <c r="B30" i="12"/>
  <c r="B42" i="12" s="1"/>
  <c r="F51" i="9" l="1"/>
  <c r="F50" i="9"/>
  <c r="H51" i="9"/>
  <c r="G51" i="9"/>
  <c r="I65" i="9"/>
  <c r="K37" i="13"/>
  <c r="K38" i="13"/>
  <c r="M38" i="13"/>
  <c r="M37" i="13"/>
  <c r="K50" i="12"/>
  <c r="V50" i="12"/>
  <c r="D24" i="9"/>
  <c r="J65" i="9" l="1"/>
  <c r="I21" i="9"/>
  <c r="G139" i="9"/>
  <c r="G138" i="9"/>
  <c r="G140" i="9"/>
  <c r="G133" i="9"/>
  <c r="G166" i="9"/>
  <c r="G149" i="9"/>
  <c r="G150" i="9"/>
  <c r="G134" i="9"/>
  <c r="G168" i="9"/>
  <c r="G135" i="9"/>
  <c r="G136" i="9"/>
  <c r="G154" i="9"/>
  <c r="G170" i="9"/>
  <c r="G151" i="9"/>
  <c r="G152" i="9"/>
  <c r="G137" i="9"/>
  <c r="G155" i="9"/>
  <c r="G171" i="9"/>
  <c r="G167" i="9"/>
  <c r="G153" i="9"/>
  <c r="G158" i="9"/>
  <c r="G159" i="9"/>
  <c r="G144" i="9"/>
  <c r="G161" i="9"/>
  <c r="G162" i="9"/>
  <c r="G148" i="9"/>
  <c r="G173" i="9"/>
  <c r="G141" i="9"/>
  <c r="G143" i="9"/>
  <c r="G160" i="9"/>
  <c r="G163" i="9"/>
  <c r="G164" i="9"/>
  <c r="G165" i="9"/>
  <c r="G174" i="9"/>
  <c r="G156" i="9"/>
  <c r="G157" i="9"/>
  <c r="G169" i="9"/>
  <c r="G145" i="9"/>
  <c r="G172" i="9"/>
  <c r="G146" i="9"/>
  <c r="G142" i="9"/>
  <c r="G147" i="9"/>
  <c r="G175" i="9"/>
  <c r="I51" i="9" l="1"/>
  <c r="K65" i="9"/>
  <c r="J21" i="9"/>
  <c r="S3" i="9"/>
  <c r="S26" i="9"/>
  <c r="T2" i="9"/>
  <c r="T25" i="9"/>
  <c r="F12" i="9"/>
  <c r="F13" i="9" l="1"/>
  <c r="X129" i="9" s="1"/>
  <c r="L65" i="9"/>
  <c r="K21" i="9"/>
  <c r="M65" i="9" l="1"/>
  <c r="L21" i="9"/>
  <c r="V25" i="9"/>
  <c r="W25" i="9"/>
  <c r="U25" i="9"/>
  <c r="X25" i="9"/>
  <c r="Y25" i="9"/>
  <c r="U2" i="9"/>
  <c r="G12" i="9"/>
  <c r="G13" i="9" s="1"/>
  <c r="W2" i="9"/>
  <c r="I12" i="9"/>
  <c r="I13" i="9" s="1"/>
  <c r="Y2" i="9"/>
  <c r="K12" i="9"/>
  <c r="K13" i="9" s="1"/>
  <c r="H12" i="9"/>
  <c r="H13" i="9" s="1"/>
  <c r="V2" i="9"/>
  <c r="J12" i="9"/>
  <c r="J13" i="9" s="1"/>
  <c r="X2" i="9"/>
  <c r="Z25" i="9" l="1"/>
  <c r="L12" i="9"/>
  <c r="L13" i="9" s="1"/>
  <c r="Z2" i="9"/>
  <c r="M21" i="9"/>
  <c r="S4" i="9"/>
  <c r="S27" i="9"/>
  <c r="M51" i="9" l="1"/>
  <c r="N65" i="9"/>
  <c r="N21" i="9" s="1"/>
  <c r="AA25" i="9"/>
  <c r="M12" i="9"/>
  <c r="M13" i="9" s="1"/>
  <c r="AA2" i="9"/>
  <c r="T3" i="9"/>
  <c r="T14" i="9" s="1"/>
  <c r="M84" i="9"/>
  <c r="T4" i="9"/>
  <c r="T15" i="9" s="1"/>
  <c r="AA3" i="9"/>
  <c r="AA14" i="9" s="1"/>
  <c r="AA4" i="9"/>
  <c r="AA15" i="9" s="1"/>
  <c r="W4" i="9"/>
  <c r="W15" i="9" s="1"/>
  <c r="W3" i="9"/>
  <c r="W14" i="9" s="1"/>
  <c r="Z3" i="9"/>
  <c r="Z14" i="9" s="1"/>
  <c r="Z4" i="9"/>
  <c r="Z15" i="9" s="1"/>
  <c r="Y4" i="9"/>
  <c r="Y15" i="9" s="1"/>
  <c r="Y3" i="9"/>
  <c r="Y14" i="9" s="1"/>
  <c r="X3" i="9"/>
  <c r="X14" i="9" s="1"/>
  <c r="X4" i="9"/>
  <c r="X15" i="9" s="1"/>
  <c r="V4" i="9"/>
  <c r="V15" i="9" s="1"/>
  <c r="V3" i="9"/>
  <c r="V14" i="9" s="1"/>
  <c r="U4" i="9"/>
  <c r="U15" i="9" s="1"/>
  <c r="U3" i="9"/>
  <c r="U14" i="9" s="1"/>
  <c r="M89" i="9" l="1"/>
  <c r="N12" i="9"/>
  <c r="N13" i="9" s="1"/>
  <c r="AB2" i="9"/>
  <c r="AB25" i="9"/>
  <c r="E24" i="9" l="1"/>
  <c r="AB3" i="9"/>
  <c r="AB14" i="9" s="1"/>
  <c r="AB4" i="9"/>
  <c r="AB15" i="9" s="1"/>
  <c r="AA5" i="9"/>
  <c r="AA16" i="9" s="1"/>
  <c r="AB5" i="9"/>
  <c r="AB16" i="9" s="1"/>
  <c r="Y5" i="9"/>
  <c r="Z5" i="9"/>
  <c r="Z16" i="9" s="1"/>
  <c r="Y16" i="9"/>
  <c r="M90" i="9" l="1"/>
  <c r="E25" i="9" s="1"/>
  <c r="G53" i="9" s="1"/>
  <c r="J52" i="9"/>
  <c r="I52" i="9"/>
  <c r="H52" i="9"/>
  <c r="F52" i="9"/>
  <c r="S28" i="9"/>
  <c r="S5" i="9"/>
  <c r="G52" i="9"/>
  <c r="AB6" i="9"/>
  <c r="AB17" i="9" s="1"/>
  <c r="AA6" i="9"/>
  <c r="AA17" i="9" s="1"/>
  <c r="Y6" i="9"/>
  <c r="Z6" i="9"/>
  <c r="Z17" i="9" s="1"/>
  <c r="Y17" i="9"/>
  <c r="H53" i="9" l="1"/>
  <c r="S6" i="9"/>
  <c r="V6" i="9" s="1"/>
  <c r="V17" i="9" s="1"/>
  <c r="F53" i="9"/>
  <c r="S29" i="9"/>
  <c r="I53" i="9"/>
  <c r="W5" i="9"/>
  <c r="W16" i="9" s="1"/>
  <c r="X5" i="9"/>
  <c r="X16" i="9" s="1"/>
  <c r="V5" i="9"/>
  <c r="V16" i="9" s="1"/>
  <c r="X6" i="9"/>
  <c r="X17" i="9" s="1"/>
  <c r="M91" i="9"/>
  <c r="E26" i="9" s="1"/>
  <c r="H54" i="9" s="1"/>
  <c r="J53" i="9"/>
  <c r="U5" i="9"/>
  <c r="U16" i="9" s="1"/>
  <c r="T5" i="9"/>
  <c r="T16" i="9" s="1"/>
  <c r="U6" i="9"/>
  <c r="U17" i="9" s="1"/>
  <c r="T6" i="9"/>
  <c r="T17" i="9" s="1"/>
  <c r="AA7" i="9"/>
  <c r="AB7" i="9"/>
  <c r="Z7" i="9"/>
  <c r="Z18" i="9" s="1"/>
  <c r="Y7" i="9"/>
  <c r="Y18" i="9" s="1"/>
  <c r="AA18" i="9"/>
  <c r="AB18" i="9"/>
  <c r="F54" i="9" l="1"/>
  <c r="W6" i="9"/>
  <c r="W17" i="9" s="1"/>
  <c r="I54" i="9"/>
  <c r="G54" i="9"/>
  <c r="M92" i="9"/>
  <c r="E27" i="9" s="1"/>
  <c r="G55" i="9" s="1"/>
  <c r="J54" i="9"/>
  <c r="S30" i="9"/>
  <c r="S7" i="9"/>
  <c r="U7" i="9" s="1"/>
  <c r="U18" i="9" s="1"/>
  <c r="V7" i="9"/>
  <c r="V18" i="9" s="1"/>
  <c r="W7" i="9"/>
  <c r="W18" i="9" s="1"/>
  <c r="T7" i="9"/>
  <c r="T18" i="9" s="1"/>
  <c r="AA8" i="9"/>
  <c r="AA19" i="9" s="1"/>
  <c r="AB8" i="9"/>
  <c r="AB19" i="9" s="1"/>
  <c r="Z8" i="9"/>
  <c r="Z19" i="9" s="1"/>
  <c r="Y8" i="9"/>
  <c r="Y19" i="9" s="1"/>
  <c r="Y9" i="9"/>
  <c r="Z9" i="9"/>
  <c r="Z20" i="9" s="1"/>
  <c r="W9" i="9"/>
  <c r="S31" i="9" l="1"/>
  <c r="S8" i="9"/>
  <c r="T8" i="9" s="1"/>
  <c r="T19" i="9" s="1"/>
  <c r="F55" i="9"/>
  <c r="X7" i="9"/>
  <c r="X18" i="9" s="1"/>
  <c r="M93" i="9"/>
  <c r="E28" i="9" s="1"/>
  <c r="M94" i="9" s="1"/>
  <c r="I55" i="9"/>
  <c r="H55" i="9"/>
  <c r="J55" i="9"/>
  <c r="G56" i="9"/>
  <c r="F56" i="9"/>
  <c r="AB9" i="9"/>
  <c r="AB20" i="9" s="1"/>
  <c r="AA9" i="9"/>
  <c r="AA20" i="9" s="1"/>
  <c r="V8" i="9"/>
  <c r="V19" i="9" s="1"/>
  <c r="X8" i="9"/>
  <c r="X19" i="9" s="1"/>
  <c r="W8" i="9"/>
  <c r="W19" i="9" s="1"/>
  <c r="X9" i="9"/>
  <c r="X20" i="9"/>
  <c r="V20" i="9"/>
  <c r="Y20" i="9"/>
  <c r="W20" i="9"/>
  <c r="U8" i="9" l="1"/>
  <c r="U19" i="9" s="1"/>
  <c r="S9" i="9"/>
  <c r="V9" i="9" s="1"/>
  <c r="S32" i="9"/>
  <c r="U9" i="9"/>
  <c r="U20" i="9" s="1"/>
  <c r="T9" i="9"/>
  <c r="T20" i="9" s="1"/>
  <c r="E29" i="9"/>
  <c r="M95" i="9" s="1"/>
  <c r="G57" i="9" l="1"/>
  <c r="F57" i="9"/>
  <c r="S33" i="9"/>
  <c r="S10" i="9"/>
  <c r="AB10" i="9" l="1"/>
  <c r="AB21" i="9" s="1"/>
  <c r="AA10" i="9"/>
  <c r="AA21" i="9" s="1"/>
  <c r="U10" i="9"/>
  <c r="U21" i="9" s="1"/>
  <c r="X10" i="9"/>
  <c r="X21" i="9" s="1"/>
  <c r="W10" i="9"/>
  <c r="W21" i="9" s="1"/>
  <c r="Y10" i="9"/>
  <c r="Y21" i="9" s="1"/>
  <c r="T10" i="9"/>
  <c r="T21" i="9" s="1"/>
  <c r="V10" i="9"/>
  <c r="V21" i="9" s="1"/>
  <c r="Z10" i="9"/>
  <c r="Z21" i="9" s="1"/>
  <c r="E30" i="9"/>
  <c r="M96" i="9" s="1"/>
  <c r="G58" i="9" l="1"/>
  <c r="F58" i="9"/>
  <c r="S34" i="9"/>
  <c r="S11" i="9"/>
  <c r="E31" i="9"/>
  <c r="AB11" i="9" l="1"/>
  <c r="AB22" i="9" s="1"/>
  <c r="AA11" i="9"/>
  <c r="AA22" i="9" s="1"/>
  <c r="Z11" i="9"/>
  <c r="Z22" i="9" s="1"/>
  <c r="Y11" i="9"/>
  <c r="Y22" i="9" s="1"/>
  <c r="X11" i="9"/>
  <c r="X22" i="9" s="1"/>
  <c r="U11" i="9"/>
  <c r="U22" i="9" s="1"/>
  <c r="W11" i="9"/>
  <c r="W22" i="9" s="1"/>
  <c r="V11" i="9"/>
  <c r="V22" i="9" s="1"/>
  <c r="T11" i="9"/>
  <c r="T22" i="9" s="1"/>
  <c r="S12" i="9"/>
  <c r="S35" i="9"/>
  <c r="AA12" i="9" l="1"/>
  <c r="AA23" i="9" s="1"/>
  <c r="AB12" i="9"/>
  <c r="AB23" i="9" s="1"/>
  <c r="U12" i="9"/>
  <c r="U23" i="9" s="1"/>
  <c r="Y12" i="9"/>
  <c r="Y23" i="9" s="1"/>
  <c r="X12" i="9"/>
  <c r="X23" i="9" s="1"/>
  <c r="V12" i="9"/>
  <c r="V23" i="9" s="1"/>
  <c r="T12" i="9"/>
  <c r="T23" i="9" s="1"/>
  <c r="Z12" i="9"/>
  <c r="Z23" i="9" s="1"/>
  <c r="W12" i="9"/>
  <c r="W23" i="9" s="1"/>
  <c r="AD23" i="9" l="1"/>
  <c r="F41" i="9" s="1"/>
  <c r="N42" i="9" l="1"/>
  <c r="T27" i="9" s="1"/>
  <c r="V35" i="9"/>
  <c r="AA32" i="9"/>
  <c r="AA31" i="9"/>
  <c r="AA34" i="9"/>
  <c r="AB28" i="9"/>
  <c r="AA30" i="9"/>
  <c r="AB26" i="9"/>
  <c r="AA29" i="9"/>
  <c r="AB33" i="9"/>
  <c r="AB31" i="9"/>
  <c r="AA28" i="9"/>
  <c r="AB27" i="9"/>
  <c r="AB29" i="9"/>
  <c r="AB34" i="9"/>
  <c r="AA33" i="9"/>
  <c r="AA27" i="9"/>
  <c r="AB30" i="9"/>
  <c r="AA26" i="9"/>
  <c r="AB32" i="9"/>
  <c r="AA35" i="9"/>
  <c r="AB35" i="9"/>
  <c r="V46" i="9"/>
  <c r="V57" i="9" s="1"/>
  <c r="V73" i="9"/>
  <c r="V84" i="9"/>
  <c r="Y35" i="9"/>
  <c r="V33" i="9"/>
  <c r="W34" i="9"/>
  <c r="U34" i="9"/>
  <c r="X33" i="9"/>
  <c r="T26" i="9"/>
  <c r="Y31" i="9"/>
  <c r="Z30" i="9"/>
  <c r="W26" i="9"/>
  <c r="Z28" i="9"/>
  <c r="X32" i="9"/>
  <c r="Y30" i="9"/>
  <c r="Z27" i="9"/>
  <c r="Z26" i="9"/>
  <c r="Z31" i="9"/>
  <c r="Y26" i="9"/>
  <c r="Z29" i="9"/>
  <c r="V32" i="9"/>
  <c r="Z34" i="9"/>
  <c r="Y32" i="9"/>
  <c r="W32" i="9"/>
  <c r="Y29" i="9"/>
  <c r="Y33" i="9"/>
  <c r="Y34" i="9"/>
  <c r="Z33" i="9"/>
  <c r="X26" i="9"/>
  <c r="U33" i="9"/>
  <c r="Z32" i="9"/>
  <c r="Y27" i="9"/>
  <c r="T33" i="9"/>
  <c r="Y28" i="9"/>
  <c r="W33" i="9"/>
  <c r="U26" i="9"/>
  <c r="X34" i="9"/>
  <c r="V26" i="9"/>
  <c r="V34" i="9"/>
  <c r="T34" i="9"/>
  <c r="U35" i="9"/>
  <c r="T35" i="9"/>
  <c r="W35" i="9"/>
  <c r="Z35" i="9"/>
  <c r="X35" i="9"/>
  <c r="W31" i="9" l="1"/>
  <c r="W27" i="9"/>
  <c r="X28" i="9"/>
  <c r="W28" i="9"/>
  <c r="W77" i="9" s="1"/>
  <c r="V31" i="9"/>
  <c r="X31" i="9"/>
  <c r="X27" i="9"/>
  <c r="X65" i="9" s="1"/>
  <c r="X30" i="9"/>
  <c r="X79" i="9" s="1"/>
  <c r="W30" i="9"/>
  <c r="W79" i="9" s="1"/>
  <c r="V29" i="9"/>
  <c r="V67" i="9" s="1"/>
  <c r="U27" i="9"/>
  <c r="U76" i="9" s="1"/>
  <c r="W29" i="9"/>
  <c r="W40" i="9" s="1"/>
  <c r="W51" i="9" s="1"/>
  <c r="X29" i="9"/>
  <c r="X40" i="9" s="1"/>
  <c r="X51" i="9" s="1"/>
  <c r="V30" i="9"/>
  <c r="V41" i="9" s="1"/>
  <c r="V52" i="9" s="1"/>
  <c r="V27" i="9"/>
  <c r="V38" i="9" s="1"/>
  <c r="V49" i="9" s="1"/>
  <c r="V28" i="9"/>
  <c r="V66" i="9" s="1"/>
  <c r="U30" i="9"/>
  <c r="U41" i="9" s="1"/>
  <c r="U52" i="9" s="1"/>
  <c r="T28" i="9"/>
  <c r="T77" i="9" s="1"/>
  <c r="T30" i="9"/>
  <c r="T41" i="9" s="1"/>
  <c r="T52" i="9" s="1"/>
  <c r="U32" i="9"/>
  <c r="U81" i="9" s="1"/>
  <c r="U28" i="9"/>
  <c r="U66" i="9" s="1"/>
  <c r="T31" i="9"/>
  <c r="T69" i="9" s="1"/>
  <c r="T29" i="9"/>
  <c r="T67" i="9" s="1"/>
  <c r="T32" i="9"/>
  <c r="T81" i="9" s="1"/>
  <c r="U31" i="9"/>
  <c r="U42" i="9" s="1"/>
  <c r="U53" i="9" s="1"/>
  <c r="Y129" i="9"/>
  <c r="U29" i="9"/>
  <c r="U78" i="9" s="1"/>
  <c r="AA76" i="9"/>
  <c r="AA38" i="9"/>
  <c r="AA49" i="9" s="1"/>
  <c r="AA65" i="9"/>
  <c r="AA82" i="9"/>
  <c r="AA71" i="9"/>
  <c r="AA44" i="9"/>
  <c r="AA55" i="9" s="1"/>
  <c r="AB72" i="9"/>
  <c r="AB45" i="9"/>
  <c r="AB56" i="9" s="1"/>
  <c r="AB83" i="9"/>
  <c r="AB67" i="9"/>
  <c r="AB40" i="9"/>
  <c r="AB51" i="9" s="1"/>
  <c r="AB78" i="9"/>
  <c r="AB38" i="9"/>
  <c r="AB49" i="9" s="1"/>
  <c r="AB65" i="9"/>
  <c r="AB76" i="9"/>
  <c r="AA77" i="9"/>
  <c r="AA66" i="9"/>
  <c r="AA39" i="9"/>
  <c r="AA50" i="9" s="1"/>
  <c r="AB69" i="9"/>
  <c r="AB42" i="9"/>
  <c r="AB53" i="9" s="1"/>
  <c r="AB80" i="9"/>
  <c r="AB71" i="9"/>
  <c r="AB82" i="9"/>
  <c r="AB44" i="9"/>
  <c r="AB55" i="9" s="1"/>
  <c r="AA40" i="9"/>
  <c r="AA51" i="9" s="1"/>
  <c r="AA67" i="9"/>
  <c r="AA78" i="9"/>
  <c r="AA79" i="9"/>
  <c r="AA68" i="9"/>
  <c r="AA41" i="9"/>
  <c r="AA52" i="9" s="1"/>
  <c r="AB75" i="9"/>
  <c r="AB64" i="9"/>
  <c r="AB37" i="9"/>
  <c r="AB48" i="9" s="1"/>
  <c r="AB46" i="9"/>
  <c r="AB57" i="9" s="1"/>
  <c r="AB84" i="9"/>
  <c r="AB73" i="9"/>
  <c r="AB66" i="9"/>
  <c r="AB39" i="9"/>
  <c r="AB50" i="9" s="1"/>
  <c r="AB77" i="9"/>
  <c r="AA73" i="9"/>
  <c r="AA46" i="9"/>
  <c r="AA57" i="9" s="1"/>
  <c r="AA84" i="9"/>
  <c r="AA83" i="9"/>
  <c r="AA45" i="9"/>
  <c r="AA56" i="9" s="1"/>
  <c r="AA72" i="9"/>
  <c r="AB70" i="9"/>
  <c r="AB81" i="9"/>
  <c r="AB43" i="9"/>
  <c r="AB54" i="9" s="1"/>
  <c r="AA42" i="9"/>
  <c r="AA53" i="9" s="1"/>
  <c r="AA80" i="9"/>
  <c r="AA69" i="9"/>
  <c r="AA64" i="9"/>
  <c r="AA75" i="9"/>
  <c r="AA37" i="9"/>
  <c r="AA48" i="9" s="1"/>
  <c r="AA81" i="9"/>
  <c r="AA70" i="9"/>
  <c r="AA43" i="9"/>
  <c r="AA54" i="9" s="1"/>
  <c r="AB79" i="9"/>
  <c r="AB41" i="9"/>
  <c r="AB52" i="9" s="1"/>
  <c r="AB68" i="9"/>
  <c r="T37" i="9"/>
  <c r="T64" i="9"/>
  <c r="T75" i="9"/>
  <c r="U37" i="9"/>
  <c r="U48" i="9" s="1"/>
  <c r="U75" i="9"/>
  <c r="U64" i="9"/>
  <c r="W76" i="9"/>
  <c r="W65" i="9"/>
  <c r="W38" i="9"/>
  <c r="W49" i="9" s="1"/>
  <c r="W66" i="9"/>
  <c r="X71" i="9"/>
  <c r="X82" i="9"/>
  <c r="X44" i="9"/>
  <c r="X55" i="9" s="1"/>
  <c r="W71" i="9"/>
  <c r="W82" i="9"/>
  <c r="W44" i="9"/>
  <c r="W55" i="9" s="1"/>
  <c r="U44" i="9"/>
  <c r="U55" i="9" s="1"/>
  <c r="U82" i="9"/>
  <c r="U71" i="9"/>
  <c r="Z78" i="9"/>
  <c r="Z40" i="9"/>
  <c r="Z51" i="9" s="1"/>
  <c r="Z67" i="9"/>
  <c r="U45" i="9"/>
  <c r="U56" i="9" s="1"/>
  <c r="U72" i="9"/>
  <c r="U83" i="9"/>
  <c r="V70" i="9"/>
  <c r="V81" i="9"/>
  <c r="V43" i="9"/>
  <c r="V54" i="9" s="1"/>
  <c r="W42" i="9"/>
  <c r="W53" i="9" s="1"/>
  <c r="W80" i="9"/>
  <c r="W69" i="9"/>
  <c r="Y66" i="9"/>
  <c r="Y77" i="9"/>
  <c r="Y39" i="9"/>
  <c r="Y50" i="9" s="1"/>
  <c r="X64" i="9"/>
  <c r="X37" i="9"/>
  <c r="X48" i="9" s="1"/>
  <c r="X75" i="9"/>
  <c r="Y75" i="9"/>
  <c r="Y64" i="9"/>
  <c r="Y37" i="9"/>
  <c r="Y48" i="9" s="1"/>
  <c r="W45" i="9"/>
  <c r="W56" i="9" s="1"/>
  <c r="W83" i="9"/>
  <c r="W72" i="9"/>
  <c r="T80" i="9"/>
  <c r="Z69" i="9"/>
  <c r="Z42" i="9"/>
  <c r="Z53" i="9" s="1"/>
  <c r="Z80" i="9"/>
  <c r="X84" i="9"/>
  <c r="X46" i="9"/>
  <c r="X57" i="9" s="1"/>
  <c r="X73" i="9"/>
  <c r="Y83" i="9"/>
  <c r="Y72" i="9"/>
  <c r="Y45" i="9"/>
  <c r="Y56" i="9" s="1"/>
  <c r="Z38" i="9"/>
  <c r="Z49" i="9" s="1"/>
  <c r="Z65" i="9"/>
  <c r="Z76" i="9"/>
  <c r="T82" i="9"/>
  <c r="T44" i="9"/>
  <c r="T55" i="9" s="1"/>
  <c r="T71" i="9"/>
  <c r="Y41" i="9"/>
  <c r="Y52" i="9" s="1"/>
  <c r="Y79" i="9"/>
  <c r="Y68" i="9"/>
  <c r="V80" i="9"/>
  <c r="V42" i="9"/>
  <c r="V53" i="9" s="1"/>
  <c r="V69" i="9"/>
  <c r="Z70" i="9"/>
  <c r="Z81" i="9"/>
  <c r="Z43" i="9"/>
  <c r="Z54" i="9" s="1"/>
  <c r="Z71" i="9"/>
  <c r="Z44" i="9"/>
  <c r="Z55" i="9" s="1"/>
  <c r="Z82" i="9"/>
  <c r="W84" i="9"/>
  <c r="W46" i="9"/>
  <c r="W57" i="9" s="1"/>
  <c r="W73" i="9"/>
  <c r="X77" i="9"/>
  <c r="X66" i="9"/>
  <c r="X39" i="9"/>
  <c r="X50" i="9" s="1"/>
  <c r="Y44" i="9"/>
  <c r="Y55" i="9" s="1"/>
  <c r="Y82" i="9"/>
  <c r="Y71" i="9"/>
  <c r="X43" i="9"/>
  <c r="X54" i="9" s="1"/>
  <c r="X70" i="9"/>
  <c r="X81" i="9"/>
  <c r="V82" i="9"/>
  <c r="V71" i="9"/>
  <c r="V44" i="9"/>
  <c r="V55" i="9" s="1"/>
  <c r="Z46" i="9"/>
  <c r="Z57" i="9" s="1"/>
  <c r="Z73" i="9"/>
  <c r="Z84" i="9"/>
  <c r="Z75" i="9"/>
  <c r="Z37" i="9"/>
  <c r="Z48" i="9" s="1"/>
  <c r="Z64" i="9"/>
  <c r="T46" i="9"/>
  <c r="T57" i="9" s="1"/>
  <c r="T84" i="9"/>
  <c r="T73" i="9"/>
  <c r="U73" i="9"/>
  <c r="U84" i="9"/>
  <c r="U46" i="9"/>
  <c r="U57" i="9" s="1"/>
  <c r="W81" i="9"/>
  <c r="W70" i="9"/>
  <c r="W43" i="9"/>
  <c r="W54" i="9" s="1"/>
  <c r="T76" i="9"/>
  <c r="T38" i="9"/>
  <c r="T49" i="9" s="1"/>
  <c r="T65" i="9"/>
  <c r="T72" i="9"/>
  <c r="T83" i="9"/>
  <c r="T45" i="9"/>
  <c r="T56" i="9" s="1"/>
  <c r="X38" i="9"/>
  <c r="X49" i="9" s="1"/>
  <c r="W37" i="9"/>
  <c r="W48" i="9" s="1"/>
  <c r="W64" i="9"/>
  <c r="W75" i="9"/>
  <c r="Y73" i="9"/>
  <c r="Y46" i="9"/>
  <c r="Y57" i="9" s="1"/>
  <c r="Y84" i="9"/>
  <c r="Z39" i="9"/>
  <c r="Z50" i="9" s="1"/>
  <c r="Z77" i="9"/>
  <c r="Z66" i="9"/>
  <c r="V72" i="9"/>
  <c r="V83" i="9"/>
  <c r="V45" i="9"/>
  <c r="V56" i="9" s="1"/>
  <c r="Y81" i="9"/>
  <c r="Y43" i="9"/>
  <c r="Y54" i="9" s="1"/>
  <c r="Y70" i="9"/>
  <c r="Z41" i="9"/>
  <c r="Z52" i="9" s="1"/>
  <c r="Z79" i="9"/>
  <c r="Z68" i="9"/>
  <c r="X72" i="9"/>
  <c r="X83" i="9"/>
  <c r="X45" i="9"/>
  <c r="X56" i="9" s="1"/>
  <c r="Y67" i="9"/>
  <c r="Y40" i="9"/>
  <c r="Y51" i="9" s="1"/>
  <c r="Y78" i="9"/>
  <c r="V37" i="9"/>
  <c r="V48" i="9" s="1"/>
  <c r="V64" i="9"/>
  <c r="V75" i="9"/>
  <c r="Y69" i="9"/>
  <c r="Y42" i="9"/>
  <c r="Y53" i="9" s="1"/>
  <c r="Y80" i="9"/>
  <c r="X42" i="9"/>
  <c r="X53" i="9" s="1"/>
  <c r="X69" i="9"/>
  <c r="X80" i="9"/>
  <c r="Y76" i="9"/>
  <c r="Y38" i="9"/>
  <c r="Y49" i="9" s="1"/>
  <c r="Y65" i="9"/>
  <c r="Z83" i="9"/>
  <c r="Z45" i="9"/>
  <c r="Z56" i="9" s="1"/>
  <c r="Z72" i="9"/>
  <c r="X76" i="9" l="1"/>
  <c r="V78" i="9"/>
  <c r="V40" i="9"/>
  <c r="V51" i="9" s="1"/>
  <c r="X68" i="9"/>
  <c r="W41" i="9"/>
  <c r="W52" i="9" s="1"/>
  <c r="X41" i="9"/>
  <c r="X52" i="9" s="1"/>
  <c r="W68" i="9"/>
  <c r="W39" i="9"/>
  <c r="W50" i="9" s="1"/>
  <c r="X67" i="9"/>
  <c r="X78" i="9"/>
  <c r="V77" i="9"/>
  <c r="V39" i="9"/>
  <c r="V50" i="9" s="1"/>
  <c r="U65" i="9"/>
  <c r="U38" i="9"/>
  <c r="U49" i="9" s="1"/>
  <c r="V76" i="9"/>
  <c r="V65" i="9"/>
  <c r="V79" i="9"/>
  <c r="W78" i="9"/>
  <c r="V68" i="9"/>
  <c r="W67" i="9"/>
  <c r="U70" i="9"/>
  <c r="U43" i="9"/>
  <c r="U54" i="9" s="1"/>
  <c r="T78" i="9"/>
  <c r="T40" i="9"/>
  <c r="T51" i="9" s="1"/>
  <c r="U39" i="9"/>
  <c r="U50" i="9" s="1"/>
  <c r="U77" i="9"/>
  <c r="T68" i="9"/>
  <c r="T79" i="9"/>
  <c r="T39" i="9"/>
  <c r="T50" i="9" s="1"/>
  <c r="T42" i="9"/>
  <c r="T53" i="9" s="1"/>
  <c r="T66" i="9"/>
  <c r="U67" i="9"/>
  <c r="U40" i="9"/>
  <c r="U51" i="9" s="1"/>
  <c r="U80" i="9"/>
  <c r="T70" i="9"/>
  <c r="U69" i="9"/>
  <c r="T43" i="9"/>
  <c r="T54" i="9" s="1"/>
  <c r="U79" i="9"/>
  <c r="U68" i="9"/>
  <c r="T48" i="9"/>
  <c r="R76" i="9" l="1"/>
  <c r="R77" i="9"/>
  <c r="R66" i="9"/>
  <c r="R65" i="9"/>
  <c r="AD46" i="9"/>
  <c r="F48" i="9" s="1"/>
  <c r="J48" i="9" s="1"/>
  <c r="AD57" i="9"/>
  <c r="F46" i="9" s="1"/>
  <c r="AD43" i="9"/>
  <c r="F47" i="9" s="1"/>
  <c r="L37" i="9" l="1"/>
  <c r="U129" i="9" s="1"/>
  <c r="AB129" i="9"/>
  <c r="J46" i="9"/>
  <c r="Z129" i="9"/>
  <c r="J47" i="9"/>
  <c r="AA129" i="9"/>
</calcChain>
</file>

<file path=xl/sharedStrings.xml><?xml version="1.0" encoding="utf-8"?>
<sst xmlns="http://schemas.openxmlformats.org/spreadsheetml/2006/main" count="363" uniqueCount="278">
  <si>
    <t>Aperture</t>
  </si>
  <si>
    <t>mm</t>
  </si>
  <si>
    <t>(mm)</t>
  </si>
  <si>
    <t>(OK, if you must, BUT use "Paste value" only, DO NOT use pastes which include formats.)</t>
  </si>
  <si>
    <t>#</t>
  </si>
  <si>
    <t>m</t>
  </si>
  <si>
    <t>Aperture f</t>
  </si>
  <si>
    <t>(m)</t>
  </si>
  <si>
    <t>(f)</t>
  </si>
  <si>
    <t>stop</t>
  </si>
  <si>
    <t>MIN (NDest, ND)</t>
  </si>
  <si>
    <t>Renard 5</t>
  </si>
  <si>
    <t>Near DoF</t>
  </si>
  <si>
    <t>Tables to establish use case boundaries</t>
  </si>
  <si>
    <t>Calculations</t>
  </si>
  <si>
    <t>continues with</t>
  </si>
  <si>
    <t>until approx.</t>
  </si>
  <si>
    <t>Subj. dist. starts</t>
  </si>
  <si>
    <t>at min. focus dist.</t>
  </si>
  <si>
    <t>(candidate NDp)</t>
  </si>
  <si>
    <t xml:space="preserve"> (NDest - ND) /</t>
  </si>
  <si>
    <t>NDre^2</t>
  </si>
  <si>
    <t>(NDest)</t>
  </si>
  <si>
    <t>(NDre)</t>
  </si>
  <si>
    <t>(ND)</t>
  </si>
  <si>
    <t>Subj. Dist.</t>
  </si>
  <si>
    <t>rounded single value</t>
  </si>
  <si>
    <t>candidate NDp</t>
  </si>
  <si>
    <t>from cell N14</t>
  </si>
  <si>
    <t>Other results</t>
  </si>
  <si>
    <t>Essential input data</t>
  </si>
  <si>
    <t>Other input data</t>
  </si>
  <si>
    <t>Advice:</t>
  </si>
  <si>
    <t>Relative error</t>
  </si>
  <si>
    <t>Set 'x' or '#' in a cell for that particular use case combination of aperture and subject distance.</t>
  </si>
  <si>
    <t>DO NOT copy and paste into these cells!</t>
  </si>
  <si>
    <t>Delete cell content and leave blank if not '#' or 'x'.</t>
  </si>
  <si>
    <t>Advice shows when</t>
  </si>
  <si>
    <t>Overview</t>
  </si>
  <si>
    <t>Average</t>
  </si>
  <si>
    <t>Maximum</t>
  </si>
  <si>
    <t>Report</t>
  </si>
  <si>
    <t>but less than N+1'th</t>
  </si>
  <si>
    <t>If greater than N'th</t>
  </si>
  <si>
    <t>x</t>
  </si>
  <si>
    <t>(Nicely rounded numbers)</t>
  </si>
  <si>
    <t>gap</t>
  </si>
  <si>
    <t>Renard R''10 preferred</t>
  </si>
  <si>
    <t>Spreadsheet formulas</t>
  </si>
  <si>
    <t>Use case error advisory table.</t>
  </si>
  <si>
    <t>for use cases selected by '#' or 'x'.</t>
  </si>
  <si>
    <t>of the hyperfocal</t>
  </si>
  <si>
    <t>distance when</t>
  </si>
  <si>
    <t>wide open.</t>
  </si>
  <si>
    <t>The spreadsheet calculates a table of the relative error of each Near DoF estimate.</t>
  </si>
  <si>
    <t>Error of estimate = Estimated ND - Calculated ND</t>
  </si>
  <si>
    <t>The spreadsheet tables comprise a range of apertures and a range of subject distances, starting with the values given for f when wide open and with the minimum subject distance.</t>
  </si>
  <si>
    <t>Commentary</t>
  </si>
  <si>
    <t>This entire enterprise rests on the quality of the calculated values for Near DoF.</t>
  </si>
  <si>
    <t>One check is to compare professionally published DoF tables with the spreadsheet values.  This is reported in the worksheet named "Check 1".</t>
  </si>
  <si>
    <t>Near DoF (mm) from Photo Pills for 25 mm MFT lens</t>
  </si>
  <si>
    <t>f/1.2</t>
  </si>
  <si>
    <t>f/1.4</t>
  </si>
  <si>
    <t>f/1.7</t>
  </si>
  <si>
    <t>f/2.0</t>
  </si>
  <si>
    <t>f/2.4</t>
  </si>
  <si>
    <t>f/2.8</t>
  </si>
  <si>
    <t>f/3.3</t>
  </si>
  <si>
    <t>f/4.0</t>
  </si>
  <si>
    <t>f/4.8</t>
  </si>
  <si>
    <t>Subj dist</t>
  </si>
  <si>
    <t>Difference</t>
  </si>
  <si>
    <t>Near DoF (mm) from spreadsheet for 25 mm MFT lens</t>
  </si>
  <si>
    <t>The Photo Pills values were given in metres to two decimal places -- ie to the nearest centimetre.</t>
  </si>
  <si>
    <t>This restricts their usefulness for shorter subject distances.</t>
  </si>
  <si>
    <t>From sd = 2, however, it is clear that the spreadsheet calculations are in excellent agreement.</t>
  </si>
  <si>
    <t>Their web site for Near/Far DoF could not be persuaded to show greater accuracy.</t>
  </si>
  <si>
    <t>Oly 60/2.8 Macro</t>
  </si>
  <si>
    <t>Spreadsheet calculations</t>
  </si>
  <si>
    <t>Near DoF (mm) from Olympus page - Depth of field table M.ZUIKO DIGITAL ED 60mm 1:2.8 Macro</t>
  </si>
  <si>
    <t>Near DoF (mm) from spreadsheet for 60 mm MFT lens</t>
  </si>
  <si>
    <t>The Olympus values were given in metres to three decimal places -- ie to the nearest millimetre.</t>
  </si>
  <si>
    <t>From sd = 0.7, however, the spreadsheet calculations are in good agreement, averaging 5.9% under-estimate.</t>
  </si>
  <si>
    <t>Average (sd&gt;=2)</t>
  </si>
  <si>
    <t>Average (sd&gt;=0.7)</t>
  </si>
  <si>
    <t>https://asia.omsystem.com/product/dslr/mlens/60_28macro/spec.html</t>
  </si>
  <si>
    <t>https://www.photopills.com/calculators/dof-table</t>
  </si>
  <si>
    <t>The Olympus table specifies CoC = 0.0000167.  If this value is used in the spreadsheet, then agreement</t>
  </si>
  <si>
    <t xml:space="preserve">   is excellent with an average relative error &lt; 1%.</t>
  </si>
  <si>
    <t>Two decades of</t>
  </si>
  <si>
    <t>SQRT(average)</t>
  </si>
  <si>
    <t>From the hyperfocal distances, the spreadsheet calculates a table of Near DoF values for the use cases of interest as per the use case switch.</t>
  </si>
  <si>
    <t>The spreadsheet calculates a table of estimated Near DoF for the selected use cases using the rounded NDp parameter.</t>
  </si>
  <si>
    <t>Relative Error = Error of estimate / smaller of the Estimated ND or Calculated ND values</t>
  </si>
  <si>
    <t>A second check is to compare calibrated measurements of DoF from photographs with the spreadsheet values.  This is reported in the worksheet named "Check 2".</t>
  </si>
  <si>
    <t>Aperture, f</t>
  </si>
  <si>
    <t>Lens</t>
  </si>
  <si>
    <t>Tables trimmed to</t>
  </si>
  <si>
    <t>cases selected with</t>
  </si>
  <si>
    <t>Rounding</t>
  </si>
  <si>
    <t>R''10 table</t>
  </si>
  <si>
    <t>Note</t>
  </si>
  <si>
    <t>across multiple decades of</t>
  </si>
  <si>
    <t>Decade</t>
  </si>
  <si>
    <t>Acceptable limit:</t>
  </si>
  <si>
    <t xml:space="preserve">   Average relative error may be used to assess the balance of the errors, such that the under-estimates should generally balance the over-estimates.</t>
  </si>
  <si>
    <t>Check:  Compare calculated DoF against published tables</t>
  </si>
  <si>
    <t>Check:  Compare calculated DoF against actual DoF for a given lens</t>
  </si>
  <si>
    <t>1/2</t>
  </si>
  <si>
    <t>1/3</t>
  </si>
  <si>
    <t>Olympus</t>
  </si>
  <si>
    <t>every:</t>
  </si>
  <si>
    <t>Every 1/'th stop</t>
  </si>
  <si>
    <t>First 25</t>
  </si>
  <si>
    <t>values of</t>
  </si>
  <si>
    <t>next</t>
  </si>
  <si>
    <t>Using "Olympus"</t>
  </si>
  <si>
    <t>preferences</t>
  </si>
  <si>
    <t>at 1/2 stops, see</t>
  </si>
  <si>
    <t>opposite</t>
  </si>
  <si>
    <t>value</t>
  </si>
  <si>
    <t>start</t>
  </si>
  <si>
    <t>then folowing</t>
  </si>
  <si>
    <t xml:space="preserve">  Apertures increment every 1/</t>
  </si>
  <si>
    <t>stop   (enter value of 1, 2, or 3)</t>
  </si>
  <si>
    <t>List of rounded f stop values</t>
  </si>
  <si>
    <t>1/2 stop differs from 1/3 stop</t>
  </si>
  <si>
    <t>Actual from calibrated photos</t>
  </si>
  <si>
    <t>cos(30):</t>
  </si>
  <si>
    <t>Full DoF, raw count, 1/8" increments</t>
  </si>
  <si>
    <t>Taking half of the apparent full DoF to represent the near DoF is an approximation.</t>
  </si>
  <si>
    <t>The LensAlign target offers divisions of 1/8" -- too large for accurate estimates at sd = 0.25, and imprecise at sd=0.5.</t>
  </si>
  <si>
    <t>Average:</t>
  </si>
  <si>
    <t>Of 0.25, 0.5, &amp; 1</t>
  </si>
  <si>
    <t>Of 0.5 &amp; 1</t>
  </si>
  <si>
    <t>Maximum:</t>
  </si>
  <si>
    <t>Err squared</t>
  </si>
  <si>
    <t>RMS:</t>
  </si>
  <si>
    <t>Nevertheless, considering sd = 0.5 and 1: average, maximum, and RMS errors fall within acceptable ranges.</t>
  </si>
  <si>
    <t>FL</t>
  </si>
  <si>
    <t>NDp</t>
  </si>
  <si>
    <t>RMS</t>
  </si>
  <si>
    <t>Max</t>
  </si>
  <si>
    <t>Avg</t>
  </si>
  <si>
    <t>Use case range</t>
  </si>
  <si>
    <t>Current lens</t>
  </si>
  <si>
    <t>R40</t>
  </si>
  <si>
    <t>Next R5</t>
  </si>
  <si>
    <t>Format</t>
  </si>
  <si>
    <t>1"</t>
  </si>
  <si>
    <t>FF</t>
  </si>
  <si>
    <t>MF</t>
  </si>
  <si>
    <t>Other</t>
  </si>
  <si>
    <t>APS-C (Canon)</t>
  </si>
  <si>
    <t>One inch</t>
  </si>
  <si>
    <t>(Enter desired value)</t>
  </si>
  <si>
    <t>35 mm full frame</t>
  </si>
  <si>
    <t>Selected CoC:</t>
  </si>
  <si>
    <t>Near Depth of Field "single number" estimator</t>
  </si>
  <si>
    <t>Based on 'd/1500'</t>
  </si>
  <si>
    <t xml:space="preserve">  Enter data into input cells only</t>
  </si>
  <si>
    <t xml:space="preserve">Rounding bias (-ve:under, +ve:over)  </t>
  </si>
  <si>
    <r>
      <t xml:space="preserve">  </t>
    </r>
    <r>
      <rPr>
        <b/>
        <sz val="11"/>
        <rFont val="Calibri"/>
        <family val="2"/>
        <scheme val="minor"/>
      </rPr>
      <t>0</t>
    </r>
    <r>
      <rPr>
        <sz val="11"/>
        <rFont val="Calibri"/>
        <family val="2"/>
        <scheme val="minor"/>
      </rPr>
      <t xml:space="preserve"> = use whole use case table,    </t>
    </r>
    <r>
      <rPr>
        <b/>
        <sz val="11"/>
        <rFont val="Calibri"/>
        <family val="2"/>
        <scheme val="minor"/>
      </rPr>
      <t>1</t>
    </r>
    <r>
      <rPr>
        <sz val="11"/>
        <rFont val="Calibri"/>
        <family val="2"/>
        <scheme val="minor"/>
      </rPr>
      <t xml:space="preserve"> = use 'x' and '#' cases in table,    </t>
    </r>
    <r>
      <rPr>
        <b/>
        <sz val="11"/>
        <rFont val="Calibri"/>
        <family val="2"/>
        <scheme val="minor"/>
      </rPr>
      <t>2</t>
    </r>
    <r>
      <rPr>
        <sz val="11"/>
        <rFont val="Calibri"/>
        <family val="2"/>
        <scheme val="minor"/>
      </rPr>
      <t xml:space="preserve"> = use '#' cases only</t>
    </r>
  </si>
  <si>
    <t xml:space="preserve">Foc. length (FL) set at </t>
  </si>
  <si>
    <t>Work area</t>
  </si>
  <si>
    <t>Circle of confusion:</t>
  </si>
  <si>
    <t>CC BY-NC-SA</t>
  </si>
  <si>
    <t>Editing &amp; repurposing</t>
  </si>
  <si>
    <t>The range of apertures and subject distances presented in the use case table are automatically derived from user inputs as described above.</t>
  </si>
  <si>
    <t>All other spreadsheet functions refer to the use case header row and column, ensuring propagation of the different values.</t>
  </si>
  <si>
    <t>Examining the photos on-screen introduces a different CoC, subjective bias, and subjective variability, their values unknown.</t>
  </si>
  <si>
    <t>Half of full DoF, Cos(30) adjusted, mm</t>
  </si>
  <si>
    <t>Example photo for sd=1.0, f2.8.  DoF examined at 100%.  Note angle of scale at 30°</t>
  </si>
  <si>
    <t>If different apertures and/or subject distances are desired, they can be entered into the use case table header row and column, overwriting the simple formulas.</t>
  </si>
  <si>
    <t>The derivation and calculations are performed in the work area, and are referenced by the use case table with simple formulas of the type "= work area cell".</t>
  </si>
  <si>
    <t>Note the Creative Commons licence -- feel free to edit or distribute, but not for gain, and always with attribution.</t>
  </si>
  <si>
    <t>Otherwise no fill colour shows far depth of field is at infinity</t>
  </si>
  <si>
    <t>Near depth of field is calculated as the distance from the plane of near focus to the subject --</t>
  </si>
  <si>
    <t>The plane of near focus is calculated as the hyperfocal distance multiplied by subject distance divided by the sum of the hyperfocal distance and the subject distance --</t>
  </si>
  <si>
    <t>Hyperfocal parameter, Hp</t>
  </si>
  <si>
    <t xml:space="preserve">Sensor type </t>
  </si>
  <si>
    <t>APS-C (Nikon, Fuji, etc)</t>
  </si>
  <si>
    <t>Medium format (645)</t>
  </si>
  <si>
    <t>https://www.onemetre.net</t>
  </si>
  <si>
    <t>1  Lens details</t>
  </si>
  <si>
    <t>2  Hyperfocal</t>
  </si>
  <si>
    <t>3  Use case table</t>
  </si>
  <si>
    <t>4  Use case switch</t>
  </si>
  <si>
    <t>5  Near DoF estimator</t>
  </si>
  <si>
    <t>6  Error</t>
  </si>
  <si>
    <t>Calculations then employ all 90 cases (if use case switch = 0), just those cases of interest ('#' and 'x', switch = 1), or only those cases of primary interest ('#' only, switch = 2).</t>
  </si>
  <si>
    <t>A  Near DoF</t>
  </si>
  <si>
    <t>B  Theoretical parameter</t>
  </si>
  <si>
    <t>C  ND estimated using</t>
  </si>
  <si>
    <t>D  Relative error</t>
  </si>
  <si>
    <t>A</t>
  </si>
  <si>
    <t>B</t>
  </si>
  <si>
    <t>E</t>
  </si>
  <si>
    <t>C</t>
  </si>
  <si>
    <t>D</t>
  </si>
  <si>
    <t>The spreadsheet calculates a table of squared relative errors and the square root of their average.</t>
  </si>
  <si>
    <t xml:space="preserve">   The spreadsheet additionally calculates and reports the maximum relative error, and the average relative error.</t>
  </si>
  <si>
    <t>Spreadsheet tables (Alpha path) and user workflow (Numbers path)</t>
  </si>
  <si>
    <t>E  Squared error</t>
  </si>
  <si>
    <t xml:space="preserve">The square root of the average relative error is reported as RMS Error, the main indicator of the quality of the NDp when used to estimate Near DoF.  </t>
  </si>
  <si>
    <t xml:space="preserve">   The spreadsheet reports (user-adjustable) commentaries on the sizes of RMS error, maximum error, and average error.</t>
  </si>
  <si>
    <t xml:space="preserve">   From the starting f value, a linear sequence of eight further f values are calculated and coordinated to the 'official' list of preferred f stop designations (see working area).</t>
  </si>
  <si>
    <t xml:space="preserve">   From the minimum subject distance, nine further subject distances are calculated in a geometric sequence, starting at the 'next' convenient distance and ending at the specified multiple of the hyperfocal distance.</t>
  </si>
  <si>
    <t>The candidate NDp is rounded for ease of use in mental arithmetic, using the Renard D''10 sequence of 'preferred' values (see Wikipedia).</t>
  </si>
  <si>
    <t>Aperture f sequence:</t>
  </si>
  <si>
    <t>Subject distance,               SD (m)</t>
  </si>
  <si>
    <t>Fill colour shows when SD &lt; hyperfocal distance  (using conditional formatting)</t>
  </si>
  <si>
    <t>either SD or f are out of range</t>
  </si>
  <si>
    <t>SD</t>
  </si>
  <si>
    <t>NDPlane - SD</t>
  </si>
  <si>
    <t>ND / (f * SD^2)</t>
  </si>
  <si>
    <t>(mm per f per SD^2)</t>
  </si>
  <si>
    <t>NDp * f * SD^2</t>
  </si>
  <si>
    <t>mm per f per SD squared</t>
  </si>
  <si>
    <t xml:space="preserve">            SD sequencing</t>
  </si>
  <si>
    <t>SD sequence</t>
  </si>
  <si>
    <t>distance multiplier</t>
  </si>
  <si>
    <t>For a given focal length, near DoF is broadly a linear function of aperture, 'f', and a quadratic function of subject distance, 'SD'.</t>
  </si>
  <si>
    <t xml:space="preserve">   which is similar to the results for other nearby combinations of f and SD at the same focal length.</t>
  </si>
  <si>
    <t>Near DoF = SD - PoNF</t>
  </si>
  <si>
    <t>PoNF = HD*SD / (HD+SD)</t>
  </si>
  <si>
    <t xml:space="preserve">   and the end point of the SD range according to the percentage of the wide open hyperfocal distance to be used.  Also see below entry on editing.)</t>
  </si>
  <si>
    <t>Theoretical NDp = Calculated Near Dof / (f * SD^2)</t>
  </si>
  <si>
    <t xml:space="preserve">   Maximum error typically occurs for the use cases at shortest SD and most open aperture. </t>
  </si>
  <si>
    <t>The spreadsheet calculates the theoretical parameter NDp for each Near DoF value.</t>
  </si>
  <si>
    <t xml:space="preserve">   (Note that the rounding can be biased to taste, guided by average error, to give a value for the rounded NDp which tends to over-estimate, or to under-estimate, Near DoF.  Bias usually needs to be set at least +/-20%.)</t>
  </si>
  <si>
    <t>Hp</t>
  </si>
  <si>
    <t>Four-thirds/micro FT</t>
  </si>
  <si>
    <t>FT/MFT</t>
  </si>
  <si>
    <t>APS-Cc</t>
  </si>
  <si>
    <t>APS-Cn/f/….</t>
  </si>
  <si>
    <t>f range from/to</t>
  </si>
  <si>
    <t xml:space="preserve">Min. focus distance </t>
  </si>
  <si>
    <t xml:space="preserve"> (Inspect table D relative error)</t>
  </si>
  <si>
    <t xml:space="preserve"> (Inspect table E squared error)</t>
  </si>
  <si>
    <t>Average (-ve:under-estimate, +ve:over)</t>
  </si>
  <si>
    <t xml:space="preserve">   Given the CoC and lens focal length being used, the spreadsheet calculates the hyperfocal distances for the range of nine apertures using the hyperfocal parameter, Hp, being the hyperfocal distance per 1/f.</t>
  </si>
  <si>
    <t>H(wo)</t>
  </si>
  <si>
    <t>Report HD, NDp, or SD</t>
  </si>
  <si>
    <t>'Half'</t>
  </si>
  <si>
    <t>R''10</t>
  </si>
  <si>
    <t>(actually .315 : .685)</t>
  </si>
  <si>
    <t>The combination of the nine f values with the ten subject distances gives a complete table of lens use cases.  Of these cases it may be useful to identify those cases of primary interest with '#'  and the</t>
  </si>
  <si>
    <t xml:space="preserve">   cases of secondary interest with 'x'.  (Note that the complete table of 90 cases can itself be resized by changing the f and min SD of the original lens details, and/or by changing the increment steps of the f range</t>
  </si>
  <si>
    <t>Around row 129 of the right-hand work area is a single-row summary of the current lens use cases and results.  It can be copied and values pasted to build a table of various lenses.</t>
  </si>
  <si>
    <t>Recommended to do any editing on a copy of the spreadsheet with the original saved separately.</t>
  </si>
  <si>
    <t>Avg Near DoF parameter</t>
  </si>
  <si>
    <t>Others (see Wikipedia)</t>
  </si>
  <si>
    <t>CoC (mm)</t>
  </si>
  <si>
    <t>Circle of Conf. (mm)</t>
  </si>
  <si>
    <r>
      <rPr>
        <b/>
        <sz val="11"/>
        <color theme="1"/>
        <rFont val="Calibri"/>
        <family val="2"/>
        <scheme val="minor"/>
      </rPr>
      <t xml:space="preserve">  1:</t>
    </r>
    <r>
      <rPr>
        <sz val="11"/>
        <color theme="1"/>
        <rFont val="Calibri"/>
        <family val="2"/>
        <scheme val="minor"/>
      </rPr>
      <t xml:space="preserve">1"   </t>
    </r>
    <r>
      <rPr>
        <b/>
        <sz val="11"/>
        <color theme="1"/>
        <rFont val="Calibri"/>
        <family val="2"/>
        <scheme val="minor"/>
      </rPr>
      <t>2:</t>
    </r>
    <r>
      <rPr>
        <sz val="11"/>
        <color theme="1"/>
        <rFont val="Calibri"/>
        <family val="2"/>
        <scheme val="minor"/>
      </rPr>
      <t xml:space="preserve">FT/MFT   </t>
    </r>
    <r>
      <rPr>
        <b/>
        <sz val="11"/>
        <color theme="1"/>
        <rFont val="Calibri"/>
        <family val="2"/>
        <scheme val="minor"/>
      </rPr>
      <t>3:</t>
    </r>
    <r>
      <rPr>
        <sz val="11"/>
        <color theme="1"/>
        <rFont val="Calibri"/>
        <family val="2"/>
        <scheme val="minor"/>
      </rPr>
      <t xml:space="preserve">APS-Cc   </t>
    </r>
    <r>
      <rPr>
        <b/>
        <sz val="11"/>
        <color theme="1"/>
        <rFont val="Calibri"/>
        <family val="2"/>
        <scheme val="minor"/>
      </rPr>
      <t>4:</t>
    </r>
    <r>
      <rPr>
        <sz val="11"/>
        <color theme="1"/>
        <rFont val="Calibri"/>
        <family val="2"/>
        <scheme val="minor"/>
      </rPr>
      <t xml:space="preserve">APS-Cn/f/…   </t>
    </r>
    <r>
      <rPr>
        <b/>
        <sz val="11"/>
        <color theme="1"/>
        <rFont val="Calibri"/>
        <family val="2"/>
        <scheme val="minor"/>
      </rPr>
      <t>5:</t>
    </r>
    <r>
      <rPr>
        <sz val="11"/>
        <color theme="1"/>
        <rFont val="Calibri"/>
        <family val="2"/>
        <scheme val="minor"/>
      </rPr>
      <t xml:space="preserve">FF   </t>
    </r>
    <r>
      <rPr>
        <b/>
        <sz val="11"/>
        <color theme="1"/>
        <rFont val="Calibri"/>
        <family val="2"/>
        <scheme val="minor"/>
      </rPr>
      <t>6:</t>
    </r>
    <r>
      <rPr>
        <sz val="11"/>
        <color theme="1"/>
        <rFont val="Calibri"/>
        <family val="2"/>
        <scheme val="minor"/>
      </rPr>
      <t xml:space="preserve">MF   </t>
    </r>
    <r>
      <rPr>
        <b/>
        <sz val="11"/>
        <color theme="1"/>
        <rFont val="Calibri"/>
        <family val="2"/>
        <scheme val="minor"/>
      </rPr>
      <t>7:</t>
    </r>
    <r>
      <rPr>
        <sz val="11"/>
        <color theme="1"/>
        <rFont val="Calibri"/>
        <family val="2"/>
        <scheme val="minor"/>
      </rPr>
      <t>Other</t>
    </r>
  </si>
  <si>
    <t>by Lester Gilbert is licenced under</t>
  </si>
  <si>
    <t xml:space="preserve">    Generally, italic values are from calculations,</t>
  </si>
  <si>
    <t xml:space="preserve">    roman values are static data for info or input.</t>
  </si>
  <si>
    <t>0  Instructions</t>
  </si>
  <si>
    <t>Hyperfocal distance (rounded)</t>
  </si>
  <si>
    <t xml:space="preserve">NDp (rounded) </t>
  </si>
  <si>
    <t>For example, NDp might be 20 for a lens set at 25 mm focal length.</t>
  </si>
  <si>
    <t>For micro four-thirds, CoC is usually given as 0.015 mm.  Olympus use 1/60 mm = 0.0167 m when describing their 60/2.8 Macro.</t>
  </si>
  <si>
    <t>Hp = FL^2 / CoC</t>
  </si>
  <si>
    <t>Hyperfocal distance for a given aperture is calculated as the hyperfocal parameter divided by the aperture f --</t>
  </si>
  <si>
    <t>The hyperfocal parameter, Hp, for a given focal length and circle of confusion (due to sensor size), is --</t>
  </si>
  <si>
    <t>HD = Hp /f</t>
  </si>
  <si>
    <t>Major result</t>
  </si>
  <si>
    <t>Usage:        Near DoF (mm)  =  NDp × SD × f × SD    (SD in metres)</t>
  </si>
  <si>
    <t>The spreadsheet suggests a single, rounded parameter to use in estimating Near DoF.</t>
  </si>
  <si>
    <t>Dividing the theoretical value of Near DoF for a given f and SD by the f value and the square of the SD gives a result</t>
  </si>
  <si>
    <t>The average of these similar results is the required Near-DoF estimating parameter, NDp.</t>
  </si>
  <si>
    <t>To estimate Near DoF in a practical situation, multiply NDp by the lens f and then by the subject distance twice.</t>
  </si>
  <si>
    <t xml:space="preserve">   If the subject is 2 metres away and the lens is set at f/4, the estimated Near DoF is NDp × f × SD × SD = 20 × 4 × 2 × 2 = 320 mm.</t>
  </si>
  <si>
    <t>Note that far DoF is equal to Near DoF for close subjects, and then transitions towards infinity as the subject approaches hyperfocal distance.</t>
  </si>
  <si>
    <t>The sensor type suggests an appropriate circle of confusion (CoC).  1"=One inch,  FT/MFT=Four-thirds/Micro four-thirds,  APS-Cc=Canon APS-C , APS-Cn/f/…=Nikon, Fuji APS-C &amp; others,  FF=35 mm full frame,  MF=Medium format 645</t>
  </si>
  <si>
    <t xml:space="preserve">   The theoretical parameters are averaged for the selected use cases to give a candidate single Near-DoF parameter, NDp, whose value is to be used in estimating Near DoF.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</si>
</sst>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00"/>
    <numFmt numFmtId="167" formatCode="0.0%"/>
    <numFmt numFmtId="168" formatCode="0.000000"/>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rgb="FF0070C0"/>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1"/>
      <name val="Calibri"/>
      <family val="2"/>
      <scheme val="minor"/>
    </font>
    <font>
      <i/>
      <sz val="11"/>
      <color theme="1"/>
      <name val="Calibri"/>
      <family val="2"/>
      <scheme val="minor"/>
    </font>
    <font>
      <b/>
      <sz val="11"/>
      <color rgb="FFFF0000"/>
      <name val="Calibri"/>
      <family val="2"/>
      <scheme val="minor"/>
    </font>
    <font>
      <b/>
      <i/>
      <sz val="11"/>
      <color theme="4"/>
      <name val="Calibri"/>
      <family val="2"/>
      <scheme val="minor"/>
    </font>
    <font>
      <sz val="11"/>
      <color theme="0"/>
      <name val="Calibri"/>
      <family val="2"/>
      <scheme val="minor"/>
    </font>
    <font>
      <b/>
      <sz val="14"/>
      <color theme="1"/>
      <name val="Calibri"/>
      <family val="2"/>
      <scheme val="minor"/>
    </font>
    <font>
      <i/>
      <sz val="11"/>
      <name val="Calibri"/>
      <family val="2"/>
      <scheme val="minor"/>
    </font>
    <font>
      <b/>
      <i/>
      <sz val="11"/>
      <color theme="0"/>
      <name val="Calibri"/>
      <family val="2"/>
      <scheme val="minor"/>
    </font>
    <font>
      <b/>
      <sz val="12"/>
      <color theme="1"/>
      <name val="Calibri"/>
      <family val="2"/>
      <scheme val="minor"/>
    </font>
    <font>
      <u/>
      <sz val="11"/>
      <color theme="10"/>
      <name val="Calibri"/>
      <family val="2"/>
      <scheme val="minor"/>
    </font>
    <font>
      <sz val="11"/>
      <color theme="4"/>
      <name val="Calibri"/>
      <family val="2"/>
      <scheme val="minor"/>
    </font>
    <font>
      <u/>
      <sz val="12"/>
      <color theme="10"/>
      <name val="Calibri"/>
      <family val="2"/>
      <scheme val="minor"/>
    </font>
    <font>
      <u/>
      <sz val="14"/>
      <color theme="10"/>
      <name val="Calibri"/>
      <family val="2"/>
      <scheme val="minor"/>
    </font>
    <font>
      <sz val="14"/>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499984740745262"/>
        <bgColor indexed="64"/>
      </patternFill>
    </fill>
  </fills>
  <borders count="3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dotted">
        <color indexed="64"/>
      </top>
      <bottom style="dotted">
        <color indexed="64"/>
      </bottom>
      <diagonal/>
    </border>
    <border>
      <left style="dotted">
        <color indexed="64"/>
      </left>
      <right style="dotted">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right/>
      <top/>
      <bottom style="thin">
        <color indexed="64"/>
      </bottom>
      <diagonal/>
    </border>
    <border>
      <left style="medium">
        <color theme="0"/>
      </left>
      <right style="medium">
        <color theme="0"/>
      </right>
      <top style="medium">
        <color theme="0"/>
      </top>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150">
    <xf numFmtId="0" fontId="0" fillId="0" borderId="0" xfId="0"/>
    <xf numFmtId="0" fontId="0" fillId="0" borderId="0" xfId="0" applyAlignment="1">
      <alignment horizontal="right"/>
    </xf>
    <xf numFmtId="0" fontId="0" fillId="0" borderId="0" xfId="0" applyBorder="1"/>
    <xf numFmtId="0" fontId="2" fillId="0" borderId="0" xfId="0" applyFont="1"/>
    <xf numFmtId="9" fontId="0" fillId="0" borderId="0" xfId="1" applyFont="1"/>
    <xf numFmtId="10" fontId="0" fillId="0" borderId="0" xfId="1" applyNumberFormat="1" applyFont="1"/>
    <xf numFmtId="0" fontId="0" fillId="0" borderId="0" xfId="0" applyFill="1" applyBorder="1"/>
    <xf numFmtId="0" fontId="0" fillId="0" borderId="0" xfId="0" applyFill="1"/>
    <xf numFmtId="9" fontId="0" fillId="0" borderId="0" xfId="0" applyNumberFormat="1"/>
    <xf numFmtId="0" fontId="0" fillId="0" borderId="0" xfId="0" applyAlignment="1">
      <alignment horizontal="left"/>
    </xf>
    <xf numFmtId="1" fontId="0" fillId="0" borderId="0" xfId="0" applyNumberFormat="1"/>
    <xf numFmtId="1" fontId="0" fillId="0" borderId="0" xfId="0" applyNumberFormat="1" applyFill="1" applyBorder="1"/>
    <xf numFmtId="1" fontId="0" fillId="0" borderId="0" xfId="1" applyNumberFormat="1" applyFont="1" applyFill="1" applyBorder="1"/>
    <xf numFmtId="9" fontId="0" fillId="0" borderId="0" xfId="1" applyFont="1" applyFill="1" applyBorder="1"/>
    <xf numFmtId="164" fontId="0" fillId="0" borderId="0" xfId="0" applyNumberFormat="1"/>
    <xf numFmtId="0" fontId="4" fillId="0" borderId="0" xfId="0" applyFont="1"/>
    <xf numFmtId="0" fontId="0" fillId="0" borderId="0" xfId="0" applyFill="1" applyAlignment="1">
      <alignment horizontal="righ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5" fillId="0" borderId="0" xfId="0" applyFont="1" applyAlignment="1">
      <alignment vertical="center"/>
    </xf>
    <xf numFmtId="0" fontId="0" fillId="0" borderId="0" xfId="0" applyAlignment="1">
      <alignment vertical="center"/>
    </xf>
    <xf numFmtId="0" fontId="3" fillId="0" borderId="0" xfId="0" applyFont="1" applyFill="1" applyBorder="1" applyAlignment="1">
      <alignment vertical="center"/>
    </xf>
    <xf numFmtId="0" fontId="0" fillId="0" borderId="0" xfId="0" applyBorder="1" applyAlignment="1">
      <alignment horizontal="right"/>
    </xf>
    <xf numFmtId="165" fontId="0" fillId="0" borderId="0" xfId="0" applyNumberFormat="1"/>
    <xf numFmtId="0" fontId="0" fillId="0" borderId="0" xfId="0" applyNumberFormat="1" applyFill="1" applyBorder="1" applyAlignment="1">
      <alignment horizontal="right"/>
    </xf>
    <xf numFmtId="164" fontId="0" fillId="0" borderId="0" xfId="1" applyNumberFormat="1" applyFont="1" applyFill="1" applyBorder="1"/>
    <xf numFmtId="0" fontId="10" fillId="0" borderId="0" xfId="0" applyFont="1"/>
    <xf numFmtId="0" fontId="0" fillId="0" borderId="0" xfId="0" quotePrefix="1" applyAlignment="1">
      <alignment horizontal="left"/>
    </xf>
    <xf numFmtId="0" fontId="0" fillId="0" borderId="0" xfId="0" applyAlignment="1">
      <alignment horizontal="center"/>
    </xf>
    <xf numFmtId="164" fontId="0" fillId="2" borderId="0" xfId="0" applyNumberFormat="1" applyFill="1"/>
    <xf numFmtId="164" fontId="9" fillId="0" borderId="0" xfId="1" applyNumberFormat="1" applyFont="1" applyFill="1" applyBorder="1"/>
    <xf numFmtId="0" fontId="0" fillId="0" borderId="0" xfId="0" applyFill="1" applyAlignment="1">
      <alignment horizontal="center"/>
    </xf>
    <xf numFmtId="0" fontId="12" fillId="0" borderId="0" xfId="0" applyFont="1" applyAlignment="1">
      <alignment vertical="center"/>
    </xf>
    <xf numFmtId="0" fontId="0" fillId="0" borderId="4" xfId="0" applyBorder="1" applyAlignment="1">
      <alignment vertical="center"/>
    </xf>
    <xf numFmtId="0" fontId="0" fillId="0" borderId="4" xfId="0" applyBorder="1"/>
    <xf numFmtId="0" fontId="0" fillId="0" borderId="4" xfId="0" applyFill="1" applyBorder="1"/>
    <xf numFmtId="9" fontId="0" fillId="0" borderId="4" xfId="1" applyNumberFormat="1" applyFont="1" applyBorder="1"/>
    <xf numFmtId="0" fontId="10" fillId="0" borderId="4" xfId="0" applyFont="1" applyBorder="1"/>
    <xf numFmtId="165" fontId="0" fillId="0" borderId="4" xfId="0" applyNumberFormat="1" applyBorder="1"/>
    <xf numFmtId="9" fontId="0" fillId="0" borderId="4" xfId="0" applyNumberFormat="1" applyBorder="1"/>
    <xf numFmtId="0" fontId="7" fillId="0" borderId="0" xfId="0" applyFont="1"/>
    <xf numFmtId="0" fontId="0" fillId="0" borderId="1" xfId="0" applyBorder="1"/>
    <xf numFmtId="0" fontId="0" fillId="0" borderId="2" xfId="0" applyBorder="1"/>
    <xf numFmtId="0" fontId="7" fillId="0" borderId="0" xfId="0" applyFont="1" applyFill="1" applyBorder="1"/>
    <xf numFmtId="0" fontId="7" fillId="0" borderId="0" xfId="0" applyFont="1" applyAlignment="1">
      <alignment horizontal="right"/>
    </xf>
    <xf numFmtId="0" fontId="4" fillId="0" borderId="0" xfId="0" applyFont="1" applyFill="1" applyBorder="1"/>
    <xf numFmtId="166" fontId="0" fillId="0" borderId="0" xfId="0" applyNumberFormat="1"/>
    <xf numFmtId="2" fontId="0" fillId="0" borderId="0" xfId="0" applyNumberFormat="1"/>
    <xf numFmtId="167" fontId="0" fillId="0" borderId="0" xfId="0" applyNumberFormat="1"/>
    <xf numFmtId="0" fontId="0" fillId="3" borderId="0" xfId="0" applyFill="1"/>
    <xf numFmtId="0" fontId="0" fillId="0" borderId="0" xfId="0" applyAlignment="1">
      <alignment horizontal="center"/>
    </xf>
    <xf numFmtId="0" fontId="0" fillId="4" borderId="0" xfId="0" applyFill="1"/>
    <xf numFmtId="0" fontId="0" fillId="0" borderId="0" xfId="0" applyAlignment="1">
      <alignment horizontal="center"/>
    </xf>
    <xf numFmtId="0" fontId="7" fillId="0" borderId="0" xfId="0" applyFont="1" applyFill="1"/>
    <xf numFmtId="0" fontId="13" fillId="0" borderId="13" xfId="0" quotePrefix="1" applyFont="1" applyFill="1" applyBorder="1" applyAlignment="1">
      <alignment horizontal="right"/>
    </xf>
    <xf numFmtId="0" fontId="13" fillId="0" borderId="14" xfId="0" applyNumberFormat="1" applyFont="1" applyFill="1" applyBorder="1"/>
    <xf numFmtId="1" fontId="8" fillId="2" borderId="0" xfId="0" applyNumberFormat="1" applyFont="1" applyFill="1" applyBorder="1"/>
    <xf numFmtId="0" fontId="8" fillId="0" borderId="0" xfId="0" applyFont="1"/>
    <xf numFmtId="9" fontId="8" fillId="2" borderId="0" xfId="1" applyFont="1" applyFill="1" applyBorder="1"/>
    <xf numFmtId="167" fontId="8" fillId="3" borderId="0" xfId="1" applyNumberFormat="1" applyFont="1" applyFill="1"/>
    <xf numFmtId="0" fontId="8" fillId="3" borderId="0" xfId="0" applyFont="1" applyFill="1" applyAlignment="1">
      <alignment horizontal="left"/>
    </xf>
    <xf numFmtId="9" fontId="8" fillId="3" borderId="0" xfId="0" applyNumberFormat="1" applyFont="1" applyFill="1"/>
    <xf numFmtId="167" fontId="8" fillId="3" borderId="0" xfId="0" applyNumberFormat="1" applyFont="1" applyFill="1"/>
    <xf numFmtId="0" fontId="8" fillId="0" borderId="17" xfId="0" applyFont="1" applyBorder="1"/>
    <xf numFmtId="0" fontId="8" fillId="0" borderId="2" xfId="0" applyFont="1" applyBorder="1"/>
    <xf numFmtId="0" fontId="8" fillId="0" borderId="3" xfId="0" applyFont="1" applyBorder="1"/>
    <xf numFmtId="0" fontId="8" fillId="0" borderId="4" xfId="0" applyFont="1" applyBorder="1"/>
    <xf numFmtId="0" fontId="8" fillId="0" borderId="18" xfId="0" applyFont="1" applyBorder="1"/>
    <xf numFmtId="0" fontId="8" fillId="0" borderId="19" xfId="0" applyFont="1" applyBorder="1"/>
    <xf numFmtId="0" fontId="8" fillId="2" borderId="0" xfId="0" applyNumberFormat="1" applyFont="1" applyFill="1" applyBorder="1"/>
    <xf numFmtId="0" fontId="8" fillId="3" borderId="0" xfId="0" applyNumberFormat="1" applyFont="1" applyFill="1"/>
    <xf numFmtId="0" fontId="0" fillId="5" borderId="0" xfId="0" applyFill="1"/>
    <xf numFmtId="0" fontId="0" fillId="0" borderId="0" xfId="0" quotePrefix="1" applyAlignment="1">
      <alignment horizontal="center"/>
    </xf>
    <xf numFmtId="0" fontId="15" fillId="0" borderId="0" xfId="0" applyFont="1"/>
    <xf numFmtId="0" fontId="0" fillId="2" borderId="0" xfId="0" applyFill="1"/>
    <xf numFmtId="0" fontId="0" fillId="2" borderId="0" xfId="0" applyFill="1" applyAlignment="1">
      <alignment horizontal="center"/>
    </xf>
    <xf numFmtId="1" fontId="0" fillId="0" borderId="0" xfId="0" applyNumberFormat="1" applyFont="1" applyFill="1" applyAlignment="1">
      <alignment horizontal="right"/>
    </xf>
    <xf numFmtId="0" fontId="8" fillId="2" borderId="0" xfId="0" applyFont="1" applyFill="1"/>
    <xf numFmtId="0" fontId="0" fillId="0" borderId="0" xfId="0" applyAlignment="1">
      <alignment horizontal="center"/>
    </xf>
    <xf numFmtId="0" fontId="8" fillId="0" borderId="13" xfId="0" applyFont="1" applyFill="1" applyBorder="1" applyAlignment="1">
      <alignment horizontal="center"/>
    </xf>
    <xf numFmtId="0" fontId="0" fillId="0" borderId="3" xfId="0" applyBorder="1"/>
    <xf numFmtId="0" fontId="8" fillId="0" borderId="0" xfId="0" applyFont="1" applyFill="1" applyAlignment="1">
      <alignment horizontal="right"/>
    </xf>
    <xf numFmtId="0" fontId="2" fillId="5" borderId="0" xfId="0" applyFont="1" applyFill="1" applyBorder="1" applyAlignment="1">
      <alignment horizontal="center"/>
    </xf>
    <xf numFmtId="0" fontId="19" fillId="0" borderId="0" xfId="2" applyFont="1" applyAlignment="1">
      <alignment vertical="center"/>
    </xf>
    <xf numFmtId="0" fontId="6" fillId="0" borderId="0" xfId="0" applyFont="1" applyAlignment="1">
      <alignment horizontal="left"/>
    </xf>
    <xf numFmtId="0" fontId="8" fillId="7" borderId="15" xfId="0" applyNumberFormat="1" applyFont="1" applyFill="1" applyBorder="1" applyAlignment="1">
      <alignment horizontal="center"/>
    </xf>
    <xf numFmtId="0" fontId="13" fillId="7" borderId="16" xfId="0" applyNumberFormat="1" applyFont="1" applyFill="1" applyBorder="1"/>
    <xf numFmtId="0" fontId="13" fillId="7" borderId="9" xfId="0" applyNumberFormat="1" applyFont="1" applyFill="1" applyBorder="1"/>
    <xf numFmtId="0" fontId="0" fillId="7" borderId="0" xfId="0" applyFill="1"/>
    <xf numFmtId="0" fontId="4" fillId="0" borderId="0" xfId="0" applyFont="1" applyAlignment="1">
      <alignment horizontal="right"/>
    </xf>
    <xf numFmtId="0" fontId="0" fillId="8" borderId="0" xfId="0" applyFill="1"/>
    <xf numFmtId="0" fontId="0" fillId="8" borderId="0" xfId="0" applyFill="1" applyAlignment="1">
      <alignment horizontal="left"/>
    </xf>
    <xf numFmtId="167" fontId="0" fillId="8" borderId="0" xfId="0" applyNumberFormat="1" applyFill="1"/>
    <xf numFmtId="1" fontId="0" fillId="8" borderId="0" xfId="0" applyNumberFormat="1" applyFill="1" applyAlignment="1">
      <alignment horizontal="center"/>
    </xf>
    <xf numFmtId="0" fontId="8" fillId="0" borderId="0" xfId="0" applyFont="1" applyBorder="1" applyAlignment="1">
      <alignment horizontal="center"/>
    </xf>
    <xf numFmtId="0" fontId="8" fillId="0" borderId="21" xfId="0" applyFont="1" applyBorder="1" applyAlignment="1">
      <alignment horizontal="center"/>
    </xf>
    <xf numFmtId="0" fontId="0" fillId="0" borderId="21" xfId="0" applyBorder="1"/>
    <xf numFmtId="0" fontId="0" fillId="0" borderId="20" xfId="0" applyBorder="1"/>
    <xf numFmtId="0" fontId="0" fillId="0" borderId="22" xfId="0" applyBorder="1"/>
    <xf numFmtId="0" fontId="8" fillId="0" borderId="23" xfId="0" applyFont="1" applyBorder="1" applyAlignment="1">
      <alignment horizontal="center"/>
    </xf>
    <xf numFmtId="0" fontId="8" fillId="0" borderId="24" xfId="0" applyFont="1" applyBorder="1" applyAlignment="1">
      <alignment horizontal="center"/>
    </xf>
    <xf numFmtId="0" fontId="13" fillId="0" borderId="0" xfId="0" applyNumberFormat="1" applyFont="1" applyFill="1" applyBorder="1" applyAlignment="1">
      <alignment horizontal="center"/>
    </xf>
    <xf numFmtId="0" fontId="2" fillId="5" borderId="25" xfId="0" applyFont="1" applyFill="1" applyBorder="1" applyAlignment="1">
      <alignment horizontal="center"/>
    </xf>
    <xf numFmtId="0" fontId="17" fillId="6" borderId="25" xfId="0" applyFont="1" applyFill="1" applyBorder="1" applyAlignment="1">
      <alignment horizontal="center"/>
    </xf>
    <xf numFmtId="9" fontId="17" fillId="6" borderId="25" xfId="0" applyNumberFormat="1" applyFont="1" applyFill="1" applyBorder="1" applyAlignment="1">
      <alignment horizontal="center"/>
    </xf>
    <xf numFmtId="0" fontId="8" fillId="7" borderId="11" xfId="0" applyNumberFormat="1" applyFont="1" applyFill="1" applyBorder="1" applyAlignment="1">
      <alignment horizontal="center"/>
    </xf>
    <xf numFmtId="167" fontId="13" fillId="3" borderId="25" xfId="1" applyNumberFormat="1" applyFont="1" applyFill="1" applyBorder="1" applyAlignment="1">
      <alignment horizontal="center"/>
    </xf>
    <xf numFmtId="167" fontId="8" fillId="3" borderId="25" xfId="1" applyNumberFormat="1" applyFont="1" applyFill="1" applyBorder="1" applyAlignment="1">
      <alignment horizontal="center"/>
    </xf>
    <xf numFmtId="0" fontId="8" fillId="0" borderId="0" xfId="0" applyFont="1" applyFill="1" applyBorder="1" applyAlignment="1">
      <alignment horizontal="center"/>
    </xf>
    <xf numFmtId="1" fontId="0" fillId="8" borderId="0" xfId="0" applyNumberFormat="1" applyFill="1"/>
    <xf numFmtId="0" fontId="0" fillId="0" borderId="0" xfId="0" quotePrefix="1" applyAlignment="1">
      <alignment horizontal="right"/>
    </xf>
    <xf numFmtId="0" fontId="0" fillId="0" borderId="0" xfId="0" quotePrefix="1"/>
    <xf numFmtId="0" fontId="13" fillId="3" borderId="25" xfId="0" applyNumberFormat="1" applyFont="1" applyFill="1" applyBorder="1" applyAlignment="1">
      <alignment horizontal="center"/>
    </xf>
    <xf numFmtId="0" fontId="8" fillId="0" borderId="0" xfId="0" applyNumberFormat="1" applyFont="1" applyAlignment="1">
      <alignment horizontal="center"/>
    </xf>
    <xf numFmtId="0" fontId="0" fillId="0" borderId="0" xfId="0" applyFill="1" applyBorder="1" applyAlignment="1">
      <alignment horizontal="right"/>
    </xf>
    <xf numFmtId="0" fontId="0" fillId="0" borderId="30" xfId="0" applyBorder="1"/>
    <xf numFmtId="1" fontId="13" fillId="3" borderId="25" xfId="0" applyNumberFormat="1" applyFont="1" applyFill="1" applyBorder="1" applyAlignment="1">
      <alignment horizontal="center"/>
    </xf>
    <xf numFmtId="0" fontId="0" fillId="0" borderId="30" xfId="0" applyBorder="1" applyAlignment="1">
      <alignment horizontal="center"/>
    </xf>
    <xf numFmtId="0" fontId="17" fillId="6" borderId="26" xfId="0" applyFont="1" applyFill="1" applyBorder="1" applyAlignment="1">
      <alignment horizontal="center"/>
    </xf>
    <xf numFmtId="0" fontId="17" fillId="6" borderId="27" xfId="0" applyFont="1" applyFill="1" applyBorder="1" applyAlignment="1">
      <alignment horizontal="center"/>
    </xf>
    <xf numFmtId="0" fontId="17" fillId="6" borderId="28" xfId="0" applyFont="1" applyFill="1" applyBorder="1" applyAlignment="1">
      <alignment horizontal="center"/>
    </xf>
    <xf numFmtId="0" fontId="8" fillId="0" borderId="0" xfId="0" applyFont="1" applyBorder="1" applyAlignment="1">
      <alignment horizontal="center"/>
    </xf>
    <xf numFmtId="0" fontId="0" fillId="0" borderId="0" xfId="0" applyAlignment="1">
      <alignment horizontal="center"/>
    </xf>
    <xf numFmtId="0" fontId="0" fillId="4" borderId="0" xfId="0" applyFill="1" applyAlignment="1">
      <alignment horizontal="center"/>
    </xf>
    <xf numFmtId="0" fontId="7" fillId="0" borderId="29" xfId="0" applyFont="1" applyBorder="1" applyAlignment="1">
      <alignment horizontal="center"/>
    </xf>
    <xf numFmtId="0" fontId="4" fillId="0" borderId="0" xfId="0" applyFont="1" applyFill="1" applyAlignment="1">
      <alignment horizontal="center" vertical="center" wrapText="1"/>
    </xf>
    <xf numFmtId="0" fontId="4" fillId="0" borderId="0" xfId="0" applyFont="1" applyFill="1" applyAlignment="1">
      <alignment horizontal="center"/>
    </xf>
    <xf numFmtId="0" fontId="13" fillId="3" borderId="26" xfId="0" applyNumberFormat="1" applyFont="1" applyFill="1" applyBorder="1" applyAlignment="1">
      <alignment horizontal="center"/>
    </xf>
    <xf numFmtId="0" fontId="13" fillId="3" borderId="28" xfId="0" applyNumberFormat="1" applyFont="1" applyFill="1" applyBorder="1" applyAlignment="1">
      <alignment horizontal="center"/>
    </xf>
    <xf numFmtId="0" fontId="0" fillId="3" borderId="26" xfId="0" applyFill="1" applyBorder="1" applyAlignment="1">
      <alignment horizontal="center"/>
    </xf>
    <xf numFmtId="0" fontId="0" fillId="3" borderId="28" xfId="0" applyFill="1" applyBorder="1" applyAlignment="1">
      <alignment horizontal="center"/>
    </xf>
    <xf numFmtId="0" fontId="20" fillId="0" borderId="0" xfId="0" applyFont="1" applyAlignment="1">
      <alignment horizontal="center" vertical="center"/>
    </xf>
    <xf numFmtId="0" fontId="16" fillId="0" borderId="0" xfId="2" applyAlignment="1">
      <alignment horizontal="center" vertical="top"/>
    </xf>
    <xf numFmtId="0" fontId="18" fillId="0" borderId="0" xfId="2" applyFont="1" applyAlignment="1">
      <alignment horizontal="center" vertical="top"/>
    </xf>
    <xf numFmtId="168" fontId="0" fillId="0" borderId="0" xfId="0" applyNumberFormat="1" applyAlignment="1">
      <alignment horizontal="center"/>
    </xf>
    <xf numFmtId="168" fontId="17" fillId="6" borderId="0" xfId="0" applyNumberFormat="1" applyFont="1" applyFill="1" applyAlignment="1">
      <alignment horizontal="center"/>
    </xf>
    <xf numFmtId="0" fontId="8" fillId="2" borderId="0" xfId="0" applyFont="1" applyFill="1" applyAlignment="1">
      <alignment horizontal="center"/>
    </xf>
    <xf numFmtId="0" fontId="8" fillId="3" borderId="26" xfId="0" applyFont="1" applyFill="1" applyBorder="1" applyAlignment="1">
      <alignment horizontal="center"/>
    </xf>
    <xf numFmtId="0" fontId="8" fillId="3" borderId="28" xfId="0" applyFont="1" applyFill="1" applyBorder="1" applyAlignment="1">
      <alignment horizontal="center"/>
    </xf>
    <xf numFmtId="0" fontId="11" fillId="9" borderId="26" xfId="0" applyFont="1" applyFill="1" applyBorder="1" applyAlignment="1">
      <alignment horizontal="center"/>
    </xf>
    <xf numFmtId="0" fontId="11" fillId="9" borderId="28" xfId="0" applyFont="1" applyFill="1" applyBorder="1" applyAlignment="1">
      <alignment horizontal="center"/>
    </xf>
    <xf numFmtId="0" fontId="14" fillId="9" borderId="31" xfId="0" applyNumberFormat="1" applyFont="1" applyFill="1" applyBorder="1" applyAlignment="1">
      <alignment horizontal="center"/>
    </xf>
    <xf numFmtId="0" fontId="11" fillId="9" borderId="27" xfId="0" applyFont="1" applyFill="1" applyBorder="1" applyAlignment="1">
      <alignment horizontal="center"/>
    </xf>
  </cellXfs>
  <cellStyles count="3">
    <cellStyle name="Hyperlink" xfId="2" builtinId="8"/>
    <cellStyle name="Normal" xfId="0" builtinId="0"/>
    <cellStyle name="Percent" xfId="1" builtinId="5"/>
  </cellStyles>
  <dxfs count="3">
    <dxf>
      <font>
        <color theme="0" tint="-4.9989318521683403E-2"/>
      </font>
      <fill>
        <patternFill>
          <bgColor rgb="FFFF0000"/>
        </patternFill>
      </fill>
    </dxf>
    <dxf>
      <fill>
        <patternFill>
          <bgColor theme="0" tint="-4.9989318521683403E-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15</xdr:col>
      <xdr:colOff>84667</xdr:colOff>
      <xdr:row>1</xdr:row>
      <xdr:rowOff>46496</xdr:rowOff>
    </xdr:to>
    <xdr:pic>
      <xdr:nvPicPr>
        <xdr:cNvPr id="3" name="Picture 2">
          <a:extLst>
            <a:ext uri="{FF2B5EF4-FFF2-40B4-BE49-F238E27FC236}">
              <a16:creationId xmlns:a16="http://schemas.microsoft.com/office/drawing/2014/main" id="{4C9A94C7-A99F-3FE0-ED9D-F75F6C2BF1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8500" y="0"/>
          <a:ext cx="1195917" cy="416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xdr:row>
      <xdr:rowOff>104775</xdr:rowOff>
    </xdr:from>
    <xdr:to>
      <xdr:col>22</xdr:col>
      <xdr:colOff>447675</xdr:colOff>
      <xdr:row>31</xdr:row>
      <xdr:rowOff>142875</xdr:rowOff>
    </xdr:to>
    <xdr:pic>
      <xdr:nvPicPr>
        <xdr:cNvPr id="3" name="Picture 2">
          <a:extLst>
            <a:ext uri="{FF2B5EF4-FFF2-40B4-BE49-F238E27FC236}">
              <a16:creationId xmlns:a16="http://schemas.microsoft.com/office/drawing/2014/main" id="{57E08616-1564-E61D-6D75-8112C08D50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2700" y="876300"/>
          <a:ext cx="7772400" cy="518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emetre.net/" TargetMode="External"/><Relationship Id="rId1" Type="http://schemas.openxmlformats.org/officeDocument/2006/relationships/hyperlink" Target="https://creativecommons.org/licenses/by-nc-sa/4.0/"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95"/>
  <sheetViews>
    <sheetView showGridLines="0" tabSelected="1" zoomScale="90" zoomScaleNormal="90" workbookViewId="0"/>
  </sheetViews>
  <sheetFormatPr defaultRowHeight="15" x14ac:dyDescent="0.25"/>
  <cols>
    <col min="1" max="1" width="2.28515625" customWidth="1"/>
    <col min="2" max="2" width="5.7109375" customWidth="1"/>
    <col min="3" max="3" width="17.7109375" customWidth="1"/>
    <col min="4" max="4" width="19.140625" customWidth="1"/>
    <col min="5" max="5" width="7.5703125" customWidth="1"/>
    <col min="6" max="14" width="9" customWidth="1"/>
    <col min="15" max="15" width="7.5703125" customWidth="1"/>
    <col min="16" max="16" width="3.28515625" style="41" customWidth="1"/>
    <col min="17" max="17" width="3.28515625" customWidth="1"/>
    <col min="18" max="18" width="20.28515625" customWidth="1"/>
    <col min="19" max="19" width="7.42578125" customWidth="1"/>
    <col min="20" max="28" width="9.5703125" customWidth="1"/>
    <col min="29" max="29" width="3" customWidth="1"/>
    <col min="30" max="30" width="9.85546875" customWidth="1"/>
  </cols>
  <sheetData>
    <row r="1" spans="1:29" s="27" customFormat="1" ht="29.25" customHeight="1" x14ac:dyDescent="0.25">
      <c r="A1" s="26" t="s">
        <v>158</v>
      </c>
      <c r="G1" s="138" t="s">
        <v>256</v>
      </c>
      <c r="H1" s="138"/>
      <c r="I1" s="138"/>
      <c r="J1" s="138"/>
      <c r="K1" s="138"/>
      <c r="L1" s="90" t="s">
        <v>166</v>
      </c>
      <c r="N1"/>
      <c r="P1" s="40"/>
      <c r="R1" s="39" t="s">
        <v>14</v>
      </c>
      <c r="X1" s="27" t="s">
        <v>6</v>
      </c>
      <c r="AC1" s="28"/>
    </row>
    <row r="2" spans="1:29" ht="15.75" x14ac:dyDescent="0.25">
      <c r="G2" s="139" t="s">
        <v>183</v>
      </c>
      <c r="H2" s="140"/>
      <c r="I2" s="140"/>
      <c r="J2" s="140"/>
      <c r="K2" s="140"/>
      <c r="S2" s="9" t="s">
        <v>213</v>
      </c>
      <c r="T2" s="61">
        <f t="shared" ref="T2:AB2" si="0">F21</f>
        <v>2.8</v>
      </c>
      <c r="U2" s="61">
        <f t="shared" si="0"/>
        <v>3.5</v>
      </c>
      <c r="V2" s="61">
        <f t="shared" si="0"/>
        <v>4</v>
      </c>
      <c r="W2" s="61">
        <f t="shared" si="0"/>
        <v>4.5</v>
      </c>
      <c r="X2" s="61">
        <f t="shared" si="0"/>
        <v>5.6</v>
      </c>
      <c r="Y2" s="61">
        <f t="shared" si="0"/>
        <v>6.7</v>
      </c>
      <c r="Z2" s="61">
        <f t="shared" si="0"/>
        <v>8</v>
      </c>
      <c r="AA2" s="61">
        <f t="shared" si="0"/>
        <v>9.5</v>
      </c>
      <c r="AB2" s="61">
        <f t="shared" si="0"/>
        <v>11</v>
      </c>
    </row>
    <row r="3" spans="1:29" ht="15.75" thickBot="1" x14ac:dyDescent="0.3">
      <c r="B3" s="15" t="s">
        <v>259</v>
      </c>
      <c r="R3" s="15" t="s">
        <v>191</v>
      </c>
      <c r="S3" s="62">
        <f t="shared" ref="S3:S12" si="1">E22</f>
        <v>0.2</v>
      </c>
      <c r="T3" s="63" t="str">
        <f t="shared" ref="T3:T12" si="2">IF($E$36=0,IF(ISNUMBER(F$21),1000*($S3-(F$13*$S3/(F$13+$S3))),""),IF($E$36=2,IF(F22="#",1000*($S3-(F$13*$S3/(F$13+$S3))),""),IF(OR(F22="x",F22="#"),1000*($S3-(F$13*$S3/(F$13+$S3))),"")))</f>
        <v/>
      </c>
      <c r="U3" s="63" t="str">
        <f t="shared" ref="U3:U12" si="3">IF($E$36=0,IF(ISNUMBER(G$21),1000*($S3-(G$13*$S3/(G$13+$S3))),""),IF($E$36=2,IF(G22="#",1000*($S3-(G$13*$S3/(G$13+$S3))),""),IF(OR(G22="x",G22="#"),1000*($S3-(G$13*$S3/(G$13+$S3))),"")))</f>
        <v/>
      </c>
      <c r="V3" s="63" t="str">
        <f t="shared" ref="V3:V12" si="4">IF($E$36=0,IF(ISNUMBER(H$21),1000*($S3-(H$13*$S3/(H$13+$S3))),""),IF($E$36=2,IF(H22="#",1000*($S3-(H$13*$S3/(H$13+$S3))),""),IF(OR(H22="x",H22="#"),1000*($S3-(H$13*$S3/(H$13+$S3))),"")))</f>
        <v/>
      </c>
      <c r="W3" s="63" t="str">
        <f t="shared" ref="W3:W12" si="5">IF($E$36=0,IF(ISNUMBER(I$21),1000*($S3-(I$13*$S3/(I$13+$S3))),""),IF($E$36=2,IF(I22="#",1000*($S3-(I$13*$S3/(I$13+$S3))),""),IF(OR(I22="x",I22="#"),1000*($S3-(I$13*$S3/(I$13+$S3))),"")))</f>
        <v/>
      </c>
      <c r="X3" s="63" t="str">
        <f t="shared" ref="X3:X12" si="6">IF($E$36=0,IF(ISNUMBER(J$21),1000*($S3-(J$13*$S3/(J$13+$S3))),""),IF($E$36=2,IF(J22="#",1000*($S3-(J$13*$S3/(J$13+$S3))),""),IF(OR(J22="x",J22="#"),1000*($S3-(J$13*$S3/(J$13+$S3))),"")))</f>
        <v/>
      </c>
      <c r="Y3" s="63" t="str">
        <f t="shared" ref="Y3:Y12" si="7">IF($E$36=0,IF(ISNUMBER(K$21),1000*($S3-(K$13*$S3/(K$13+$S3))),""),IF($E$36=2,IF(K22="#",1000*($S3-(K$13*$S3/(K$13+$S3))),""),IF(OR(K22="x",K22="#"),1000*($S3-(K$13*$S3/(K$13+$S3))),"")))</f>
        <v/>
      </c>
      <c r="Z3" s="63" t="str">
        <f t="shared" ref="Z3:Z12" si="8">IF($E$36=0,IF(ISNUMBER(L$21),1000*($S3-(L$13*$S3/(L$13+$S3))),""),IF($E$36=2,IF(L22="#",1000*($S3-(L$13*$S3/(L$13+$S3))),""),IF(OR(L22="x",L22="#"),1000*($S3-(L$13*$S3/(L$13+$S3))),"")))</f>
        <v/>
      </c>
      <c r="AA3" s="63" t="str">
        <f t="shared" ref="AA3:AA12" si="9">IF($E$36=0,IF(ISNUMBER(M$21),1000*($S3-(M$13*$S3/(M$13+$S3))),""),IF($E$36=2,IF(M22="#",1000*($S3-(M$13*$S3/(M$13+$S3))),""),IF(OR(M22="x",M22="#"),1000*($S3-(M$13*$S3/(M$13+$S3))),"")))</f>
        <v/>
      </c>
      <c r="AB3" s="63" t="str">
        <f t="shared" ref="AB3:AB12" si="10">IF($E$36=0,IF(ISNUMBER(N$21),1000*($S3-(N$13*$S3/(N$13+$S3))),""),IF($E$36=2,IF(N22="#",1000*($S3-(N$13*$S3/(N$13+$S3))),""),IF(OR(N22="x",N22="#"),1000*($S3-(N$13*$S3/(N$13+$S3))),"")))</f>
        <v/>
      </c>
      <c r="AC3" s="4"/>
    </row>
    <row r="4" spans="1:29" ht="15.75" thickBot="1" x14ac:dyDescent="0.3">
      <c r="D4" s="109" t="s">
        <v>30</v>
      </c>
      <c r="E4" t="s">
        <v>160</v>
      </c>
      <c r="I4" s="146" t="s">
        <v>268</v>
      </c>
      <c r="J4" s="147"/>
      <c r="K4" t="s">
        <v>257</v>
      </c>
      <c r="R4" s="15" t="s">
        <v>24</v>
      </c>
      <c r="S4" s="62">
        <f t="shared" si="1"/>
        <v>0.25</v>
      </c>
      <c r="T4" s="63">
        <f t="shared" si="2"/>
        <v>0.77881619937694713</v>
      </c>
      <c r="U4" s="63">
        <f t="shared" si="3"/>
        <v>0.77881619937694713</v>
      </c>
      <c r="V4" s="63">
        <f t="shared" si="4"/>
        <v>1.0373443983402453</v>
      </c>
      <c r="W4" s="63">
        <f t="shared" si="5"/>
        <v>1.2437810945273575</v>
      </c>
      <c r="X4" s="63">
        <f t="shared" si="6"/>
        <v>1.5527950310559036</v>
      </c>
      <c r="Y4" s="63" t="str">
        <f t="shared" si="7"/>
        <v/>
      </c>
      <c r="Z4" s="63" t="str">
        <f t="shared" si="8"/>
        <v/>
      </c>
      <c r="AA4" s="63" t="str">
        <f t="shared" si="9"/>
        <v/>
      </c>
      <c r="AB4" s="63" t="str">
        <f t="shared" si="10"/>
        <v/>
      </c>
      <c r="AC4" s="2"/>
    </row>
    <row r="5" spans="1:29" ht="15.75" thickBot="1" x14ac:dyDescent="0.3">
      <c r="D5" s="110" t="s">
        <v>31</v>
      </c>
      <c r="I5" s="136" t="s">
        <v>29</v>
      </c>
      <c r="J5" s="137"/>
      <c r="K5" t="s">
        <v>258</v>
      </c>
      <c r="S5" s="62">
        <f t="shared" si="1"/>
        <v>0.5</v>
      </c>
      <c r="T5" s="63">
        <f t="shared" si="2"/>
        <v>3.1055900621118071</v>
      </c>
      <c r="U5" s="63">
        <f t="shared" si="3"/>
        <v>3.1055900621118071</v>
      </c>
      <c r="V5" s="63">
        <f t="shared" si="4"/>
        <v>4.1322314049586639</v>
      </c>
      <c r="W5" s="63">
        <f t="shared" si="5"/>
        <v>4.9504950495049549</v>
      </c>
      <c r="X5" s="63">
        <f t="shared" si="6"/>
        <v>6.1728395061728669</v>
      </c>
      <c r="Y5" s="63" t="str">
        <f t="shared" si="7"/>
        <v/>
      </c>
      <c r="Z5" s="63" t="str">
        <f t="shared" si="8"/>
        <v/>
      </c>
      <c r="AA5" s="63" t="str">
        <f t="shared" si="9"/>
        <v/>
      </c>
      <c r="AB5" s="63" t="str">
        <f t="shared" si="10"/>
        <v/>
      </c>
      <c r="AC5" s="2"/>
    </row>
    <row r="6" spans="1:29" ht="15.75" thickBot="1" x14ac:dyDescent="0.3">
      <c r="I6" s="2"/>
      <c r="J6" s="2"/>
      <c r="R6" s="9" t="s">
        <v>214</v>
      </c>
      <c r="S6" s="62">
        <f t="shared" si="1"/>
        <v>1</v>
      </c>
      <c r="T6" s="63">
        <f t="shared" si="2"/>
        <v>12.345679012345734</v>
      </c>
      <c r="U6" s="63">
        <f t="shared" si="3"/>
        <v>12.345679012345734</v>
      </c>
      <c r="V6" s="63">
        <f t="shared" si="4"/>
        <v>16.393442622950836</v>
      </c>
      <c r="W6" s="63">
        <f t="shared" si="5"/>
        <v>19.607843137254942</v>
      </c>
      <c r="X6" s="63">
        <f t="shared" si="6"/>
        <v>24.390243902439046</v>
      </c>
      <c r="Y6" s="63" t="str">
        <f t="shared" si="7"/>
        <v/>
      </c>
      <c r="Z6" s="63" t="str">
        <f t="shared" si="8"/>
        <v/>
      </c>
      <c r="AA6" s="63" t="str">
        <f t="shared" si="9"/>
        <v/>
      </c>
      <c r="AB6" s="63" t="str">
        <f t="shared" si="10"/>
        <v/>
      </c>
      <c r="AC6" s="2"/>
    </row>
    <row r="7" spans="1:29" ht="15.75" thickBot="1" x14ac:dyDescent="0.3">
      <c r="B7" s="15" t="s">
        <v>184</v>
      </c>
      <c r="D7" s="1" t="s">
        <v>163</v>
      </c>
      <c r="E7" s="109">
        <v>60</v>
      </c>
      <c r="F7" t="s">
        <v>1</v>
      </c>
      <c r="G7" s="1"/>
      <c r="H7" s="29" t="s">
        <v>236</v>
      </c>
      <c r="I7" s="109">
        <v>2.8</v>
      </c>
      <c r="J7" s="109">
        <v>22</v>
      </c>
      <c r="K7" s="1" t="s">
        <v>96</v>
      </c>
      <c r="L7" s="125" t="s">
        <v>77</v>
      </c>
      <c r="M7" s="126"/>
      <c r="N7" s="127"/>
      <c r="R7" s="9" t="s">
        <v>2</v>
      </c>
      <c r="S7" s="62">
        <f t="shared" si="1"/>
        <v>2</v>
      </c>
      <c r="T7" s="63">
        <f t="shared" si="2"/>
        <v>48.780487804878092</v>
      </c>
      <c r="U7" s="63">
        <f t="shared" si="3"/>
        <v>48.780487804878092</v>
      </c>
      <c r="V7" s="63">
        <f t="shared" si="4"/>
        <v>64.516129032258007</v>
      </c>
      <c r="W7" s="63">
        <f t="shared" si="5"/>
        <v>76.923076923076877</v>
      </c>
      <c r="X7" s="63">
        <f t="shared" si="6"/>
        <v>95.23809523809534</v>
      </c>
      <c r="Y7" s="63" t="str">
        <f t="shared" si="7"/>
        <v/>
      </c>
      <c r="Z7" s="63" t="str">
        <f t="shared" si="8"/>
        <v/>
      </c>
      <c r="AA7" s="63" t="str">
        <f t="shared" si="9"/>
        <v/>
      </c>
      <c r="AB7" s="63" t="str">
        <f t="shared" si="10"/>
        <v/>
      </c>
      <c r="AC7" s="2"/>
    </row>
    <row r="8" spans="1:29" ht="15.75" thickBot="1" x14ac:dyDescent="0.3">
      <c r="D8" s="1"/>
      <c r="H8" s="1" t="s">
        <v>237</v>
      </c>
      <c r="I8" s="109">
        <v>0.2</v>
      </c>
      <c r="J8" s="2" t="s">
        <v>5</v>
      </c>
      <c r="K8" s="1" t="s">
        <v>101</v>
      </c>
      <c r="L8" s="128" t="str">
        <f>IF(1000*I8&lt;4*E7,"Min usually &gt; 4*FL","")</f>
        <v>Min usually &gt; 4*FL</v>
      </c>
      <c r="M8" s="128"/>
      <c r="N8" s="128"/>
      <c r="P8" s="42"/>
      <c r="S8" s="62">
        <f t="shared" si="1"/>
        <v>4</v>
      </c>
      <c r="T8" s="63">
        <f t="shared" si="2"/>
        <v>190.47619047619068</v>
      </c>
      <c r="U8" s="63">
        <f t="shared" si="3"/>
        <v>190.47619047619068</v>
      </c>
      <c r="V8" s="63">
        <f t="shared" si="4"/>
        <v>250</v>
      </c>
      <c r="W8" s="63">
        <f t="shared" si="5"/>
        <v>296.2962962962963</v>
      </c>
      <c r="X8" s="63">
        <f t="shared" si="6"/>
        <v>363.63636363636374</v>
      </c>
      <c r="Y8" s="63" t="str">
        <f t="shared" si="7"/>
        <v/>
      </c>
      <c r="Z8" s="63" t="str">
        <f t="shared" si="8"/>
        <v/>
      </c>
      <c r="AA8" s="63" t="str">
        <f t="shared" si="9"/>
        <v/>
      </c>
      <c r="AB8" s="63" t="str">
        <f t="shared" si="10"/>
        <v/>
      </c>
      <c r="AC8" s="2"/>
    </row>
    <row r="9" spans="1:29" ht="15.75" thickBot="1" x14ac:dyDescent="0.3">
      <c r="I9" s="2"/>
      <c r="S9" s="62">
        <f t="shared" si="1"/>
        <v>8</v>
      </c>
      <c r="T9" s="63" t="str">
        <f t="shared" si="2"/>
        <v/>
      </c>
      <c r="U9" s="63" t="str">
        <f t="shared" si="3"/>
        <v/>
      </c>
      <c r="V9" s="63" t="str">
        <f t="shared" si="4"/>
        <v/>
      </c>
      <c r="W9" s="63" t="str">
        <f t="shared" si="5"/>
        <v/>
      </c>
      <c r="X9" s="63" t="str">
        <f t="shared" si="6"/>
        <v/>
      </c>
      <c r="Y9" s="63" t="str">
        <f t="shared" si="7"/>
        <v/>
      </c>
      <c r="Z9" s="63" t="str">
        <f t="shared" si="8"/>
        <v/>
      </c>
      <c r="AA9" s="63" t="str">
        <f t="shared" si="9"/>
        <v/>
      </c>
      <c r="AB9" s="63" t="str">
        <f t="shared" si="10"/>
        <v/>
      </c>
      <c r="AC9" s="2"/>
    </row>
    <row r="10" spans="1:29" ht="15.75" thickBot="1" x14ac:dyDescent="0.3">
      <c r="B10" s="15" t="s">
        <v>185</v>
      </c>
      <c r="D10" s="1" t="s">
        <v>180</v>
      </c>
      <c r="E10" s="109">
        <v>2</v>
      </c>
      <c r="F10" t="s">
        <v>255</v>
      </c>
      <c r="H10" s="47"/>
      <c r="I10" s="6"/>
      <c r="K10" s="50"/>
      <c r="M10" s="131" t="s">
        <v>254</v>
      </c>
      <c r="N10" s="131"/>
      <c r="S10" s="62">
        <f t="shared" si="1"/>
        <v>15</v>
      </c>
      <c r="T10" s="63" t="str">
        <f t="shared" si="2"/>
        <v/>
      </c>
      <c r="U10" s="63" t="str">
        <f t="shared" si="3"/>
        <v/>
      </c>
      <c r="V10" s="63" t="str">
        <f t="shared" si="4"/>
        <v/>
      </c>
      <c r="W10" s="63" t="str">
        <f t="shared" si="5"/>
        <v/>
      </c>
      <c r="X10" s="63" t="str">
        <f t="shared" si="6"/>
        <v/>
      </c>
      <c r="Y10" s="63" t="str">
        <f t="shared" si="7"/>
        <v/>
      </c>
      <c r="Z10" s="63" t="str">
        <f t="shared" si="8"/>
        <v/>
      </c>
      <c r="AA10" s="63" t="str">
        <f t="shared" si="9"/>
        <v/>
      </c>
      <c r="AB10" s="63" t="str">
        <f t="shared" si="10"/>
        <v/>
      </c>
      <c r="AC10" s="2"/>
    </row>
    <row r="11" spans="1:29" ht="15.75" thickBot="1" x14ac:dyDescent="0.3">
      <c r="D11" s="16" t="s">
        <v>179</v>
      </c>
      <c r="E11" s="2" t="s">
        <v>7</v>
      </c>
      <c r="F11" s="123">
        <f>E7^2/(1000*M11)</f>
        <v>240</v>
      </c>
      <c r="M11" s="134">
        <f>G108</f>
        <v>1.4999999999999999E-2</v>
      </c>
      <c r="N11" s="135"/>
      <c r="S11" s="62">
        <f t="shared" si="1"/>
        <v>30</v>
      </c>
      <c r="T11" s="63" t="str">
        <f t="shared" si="2"/>
        <v/>
      </c>
      <c r="U11" s="63" t="str">
        <f t="shared" si="3"/>
        <v/>
      </c>
      <c r="V11" s="63" t="str">
        <f t="shared" si="4"/>
        <v/>
      </c>
      <c r="W11" s="63" t="str">
        <f t="shared" si="5"/>
        <v/>
      </c>
      <c r="X11" s="63" t="str">
        <f t="shared" si="6"/>
        <v/>
      </c>
      <c r="Y11" s="63" t="str">
        <f t="shared" si="7"/>
        <v/>
      </c>
      <c r="Z11" s="63" t="str">
        <f t="shared" si="8"/>
        <v/>
      </c>
      <c r="AA11" s="63" t="str">
        <f t="shared" si="9"/>
        <v/>
      </c>
      <c r="AB11" s="63" t="str">
        <f t="shared" si="10"/>
        <v/>
      </c>
      <c r="AC11" s="2"/>
    </row>
    <row r="12" spans="1:29" ht="15.75" thickBot="1" x14ac:dyDescent="0.3">
      <c r="D12" s="1" t="s">
        <v>0</v>
      </c>
      <c r="E12" t="s">
        <v>8</v>
      </c>
      <c r="F12" s="115">
        <f t="shared" ref="F12:N12" si="11">F21</f>
        <v>2.8</v>
      </c>
      <c r="G12" s="86">
        <f t="shared" si="11"/>
        <v>3.5</v>
      </c>
      <c r="H12" s="86">
        <f t="shared" si="11"/>
        <v>4</v>
      </c>
      <c r="I12" s="86">
        <f t="shared" si="11"/>
        <v>4.5</v>
      </c>
      <c r="J12" s="86">
        <f t="shared" si="11"/>
        <v>5.6</v>
      </c>
      <c r="K12" s="86">
        <f t="shared" si="11"/>
        <v>6.7</v>
      </c>
      <c r="L12" s="86">
        <f t="shared" si="11"/>
        <v>8</v>
      </c>
      <c r="M12" s="86">
        <f t="shared" si="11"/>
        <v>9.5</v>
      </c>
      <c r="N12" s="86">
        <f t="shared" si="11"/>
        <v>11</v>
      </c>
      <c r="S12" s="62">
        <f t="shared" si="1"/>
        <v>60</v>
      </c>
      <c r="T12" s="63" t="str">
        <f t="shared" si="2"/>
        <v/>
      </c>
      <c r="U12" s="63" t="str">
        <f t="shared" si="3"/>
        <v/>
      </c>
      <c r="V12" s="63" t="str">
        <f t="shared" si="4"/>
        <v/>
      </c>
      <c r="W12" s="63" t="str">
        <f t="shared" si="5"/>
        <v/>
      </c>
      <c r="X12" s="63" t="str">
        <f t="shared" si="6"/>
        <v/>
      </c>
      <c r="Y12" s="63" t="str">
        <f t="shared" si="7"/>
        <v/>
      </c>
      <c r="Z12" s="63" t="str">
        <f t="shared" si="8"/>
        <v/>
      </c>
      <c r="AA12" s="63" t="str">
        <f t="shared" si="9"/>
        <v/>
      </c>
      <c r="AB12" s="63" t="str">
        <f t="shared" si="10"/>
        <v/>
      </c>
      <c r="AC12" s="2"/>
    </row>
    <row r="13" spans="1:29" ht="15.75" thickBot="1" x14ac:dyDescent="0.3">
      <c r="D13" s="1" t="s">
        <v>260</v>
      </c>
      <c r="E13" t="s">
        <v>7</v>
      </c>
      <c r="F13" s="119">
        <f>IF(ISNUMBER(F12),VLOOKUP($F$11/F12,$G$126:$H$195,2),"")</f>
        <v>80</v>
      </c>
      <c r="G13" s="120">
        <f t="shared" ref="G13:N13" si="12">IF(ISNUMBER(G12),VLOOKUP($F$11/G12,$G$126:$H$195,2),"")</f>
        <v>80</v>
      </c>
      <c r="H13" s="120">
        <f t="shared" si="12"/>
        <v>60</v>
      </c>
      <c r="I13" s="120">
        <f t="shared" si="12"/>
        <v>50</v>
      </c>
      <c r="J13" s="120">
        <f t="shared" si="12"/>
        <v>40</v>
      </c>
      <c r="K13" s="120">
        <f t="shared" si="12"/>
        <v>40</v>
      </c>
      <c r="L13" s="120">
        <f t="shared" si="12"/>
        <v>30</v>
      </c>
      <c r="M13" s="120">
        <f t="shared" si="12"/>
        <v>25</v>
      </c>
      <c r="N13" s="120">
        <f t="shared" si="12"/>
        <v>20</v>
      </c>
      <c r="O13" s="33"/>
      <c r="AC13" s="2"/>
    </row>
    <row r="14" spans="1:29" x14ac:dyDescent="0.25">
      <c r="D14" s="121"/>
      <c r="R14" s="15" t="s">
        <v>192</v>
      </c>
      <c r="T14" s="76" t="str">
        <f t="shared" ref="T14:T23" si="13">IF($E$36=0,IF(ISNUMBER(F$21),T3/($S3^2*T$2),""),IF($E$36=2,IF(F22="#",T3/($S3^2*T$2),""),IF(OR(F22="x",F22="#"),T3/($S3^2*T$2),"")))</f>
        <v/>
      </c>
      <c r="U14" s="76" t="str">
        <f t="shared" ref="U14:U23" si="14">IF($E$36=0,IF(ISNUMBER(G$21),U3/($S3^2*U$2),""),IF($E$36=2,IF(G22="#",U3/($S3^2*U$2),""),IF(OR(G22="x",G22="#"),U3/($S3^2*U$2),"")))</f>
        <v/>
      </c>
      <c r="V14" s="76" t="str">
        <f t="shared" ref="V14:V23" si="15">IF($E$36=0,IF(ISNUMBER(H$21),V3/($S3^2*V$2),""),IF($E$36=2,IF(H22="#",V3/($S3^2*V$2),""),IF(OR(H22="x",H22="#"),V3/($S3^2*V$2),"")))</f>
        <v/>
      </c>
      <c r="W14" s="76" t="str">
        <f t="shared" ref="W14:W23" si="16">IF($E$36=0,IF(ISNUMBER(I$21),W3/($S3^2*W$2),""),IF($E$36=2,IF(I22="#",W3/($S3^2*W$2),""),IF(OR(I22="x",I22="#"),W3/($S3^2*W$2),"")))</f>
        <v/>
      </c>
      <c r="X14" s="76" t="str">
        <f t="shared" ref="X14:X23" si="17">IF($E$36=0,IF(ISNUMBER(J$21),X3/($S3^2*X$2),""),IF($E$36=2,IF(J22="#",X3/($S3^2*X$2),""),IF(OR(J22="x",J22="#"),X3/($S3^2*X$2),"")))</f>
        <v/>
      </c>
      <c r="Y14" s="76" t="str">
        <f t="shared" ref="Y14:Y23" si="18">IF($E$36=0,IF(ISNUMBER(K$21),Y3/($S3^2*Y$2),""),IF($E$36=2,IF(K22="#",Y3/($S3^2*Y$2),""),IF(OR(K22="x",K22="#"),Y3/($S3^2*Y$2),"")))</f>
        <v/>
      </c>
      <c r="Z14" s="76" t="str">
        <f t="shared" ref="Z14:Z23" si="19">IF($E$36=0,IF(ISNUMBER(L$21),Z3/($S3^2*Z$2),""),IF($E$36=2,IF(L22="#",Z3/($S3^2*Z$2),""),IF(OR(L22="x",L22="#"),Z3/($S3^2*Z$2),"")))</f>
        <v/>
      </c>
      <c r="AA14" s="76" t="str">
        <f t="shared" ref="AA14:AA23" si="20">IF($E$36=0,IF(ISNUMBER(M$21),AA3/($S3^2*AA$2),""),IF($E$36=2,IF(M22="#",AA3/($S3^2*AA$2),""),IF(OR(M22="x",M22="#"),AA3/($S3^2*AA$2),"")))</f>
        <v/>
      </c>
      <c r="AB14" s="76" t="str">
        <f t="shared" ref="AB14:AB23" si="21">IF($E$36=0,IF(ISNUMBER(N$21),AB3/($S3^2*AB$2),""),IF($E$36=2,IF(N22="#",AB3/($S3^2*AB$2),""),IF(OR(N22="x",N22="#"),AB3/($S3^2*AB$2),"")))</f>
        <v/>
      </c>
    </row>
    <row r="15" spans="1:29" x14ac:dyDescent="0.25">
      <c r="B15" s="15" t="s">
        <v>186</v>
      </c>
      <c r="F15" s="47" t="s">
        <v>34</v>
      </c>
      <c r="G15" s="33"/>
      <c r="H15" s="33"/>
      <c r="I15" s="33"/>
      <c r="J15" s="33"/>
      <c r="K15" s="33"/>
      <c r="L15" s="33"/>
      <c r="M15" s="33"/>
      <c r="N15" s="33"/>
      <c r="R15" s="15" t="s">
        <v>19</v>
      </c>
      <c r="S15" s="2"/>
      <c r="T15" s="76">
        <f t="shared" si="13"/>
        <v>4.4503782821539835</v>
      </c>
      <c r="U15" s="76">
        <f t="shared" si="14"/>
        <v>3.5603026257231867</v>
      </c>
      <c r="V15" s="76">
        <f t="shared" si="15"/>
        <v>4.1493775933609811</v>
      </c>
      <c r="W15" s="76">
        <f t="shared" si="16"/>
        <v>4.4223327805417156</v>
      </c>
      <c r="X15" s="76">
        <f t="shared" si="17"/>
        <v>4.4365572315882957</v>
      </c>
      <c r="Y15" s="76" t="str">
        <f t="shared" si="18"/>
        <v/>
      </c>
      <c r="Z15" s="76" t="str">
        <f t="shared" si="19"/>
        <v/>
      </c>
      <c r="AA15" s="76" t="str">
        <f t="shared" si="20"/>
        <v/>
      </c>
      <c r="AB15" s="76" t="str">
        <f t="shared" si="21"/>
        <v/>
      </c>
    </row>
    <row r="16" spans="1:29" x14ac:dyDescent="0.25">
      <c r="F16" s="47" t="s">
        <v>35</v>
      </c>
      <c r="S16" s="2"/>
      <c r="T16" s="76">
        <f t="shared" si="13"/>
        <v>4.4365572315882957</v>
      </c>
      <c r="U16" s="76">
        <f t="shared" si="14"/>
        <v>3.5492457852706365</v>
      </c>
      <c r="V16" s="76">
        <f t="shared" si="15"/>
        <v>4.1322314049586639</v>
      </c>
      <c r="W16" s="76">
        <f t="shared" si="16"/>
        <v>4.4004400440044042</v>
      </c>
      <c r="X16" s="76">
        <f t="shared" si="17"/>
        <v>4.4091710758377625</v>
      </c>
      <c r="Y16" s="76" t="str">
        <f t="shared" si="18"/>
        <v/>
      </c>
      <c r="Z16" s="76" t="str">
        <f t="shared" si="19"/>
        <v/>
      </c>
      <c r="AA16" s="76" t="str">
        <f t="shared" si="20"/>
        <v/>
      </c>
      <c r="AB16" s="76" t="str">
        <f t="shared" si="21"/>
        <v/>
      </c>
    </row>
    <row r="17" spans="3:30" x14ac:dyDescent="0.25">
      <c r="F17" s="47" t="s">
        <v>3</v>
      </c>
      <c r="R17" s="34" t="s">
        <v>215</v>
      </c>
      <c r="S17" s="2"/>
      <c r="T17" s="76">
        <f t="shared" si="13"/>
        <v>4.4091710758377625</v>
      </c>
      <c r="U17" s="76">
        <f t="shared" si="14"/>
        <v>3.5273368606702098</v>
      </c>
      <c r="V17" s="76">
        <f t="shared" si="15"/>
        <v>4.098360655737709</v>
      </c>
      <c r="W17" s="76">
        <f t="shared" si="16"/>
        <v>4.3572984749455426</v>
      </c>
      <c r="X17" s="76">
        <f t="shared" si="17"/>
        <v>4.3554006968641152</v>
      </c>
      <c r="Y17" s="76" t="str">
        <f t="shared" si="18"/>
        <v/>
      </c>
      <c r="Z17" s="76" t="str">
        <f t="shared" si="19"/>
        <v/>
      </c>
      <c r="AA17" s="76" t="str">
        <f t="shared" si="20"/>
        <v/>
      </c>
      <c r="AB17" s="76" t="str">
        <f t="shared" si="21"/>
        <v/>
      </c>
    </row>
    <row r="18" spans="3:30" x14ac:dyDescent="0.25">
      <c r="C18" s="35"/>
      <c r="F18" s="47" t="s">
        <v>36</v>
      </c>
      <c r="P18" s="43"/>
      <c r="R18" s="9" t="s">
        <v>216</v>
      </c>
      <c r="S18" s="2"/>
      <c r="T18" s="76">
        <f t="shared" si="13"/>
        <v>4.3554006968641152</v>
      </c>
      <c r="U18" s="76">
        <f t="shared" si="14"/>
        <v>3.4843205574912921</v>
      </c>
      <c r="V18" s="76">
        <f t="shared" si="15"/>
        <v>4.0322580645161255</v>
      </c>
      <c r="W18" s="76">
        <f t="shared" si="16"/>
        <v>4.2735042735042708</v>
      </c>
      <c r="X18" s="76">
        <f t="shared" si="17"/>
        <v>4.2517006802721138</v>
      </c>
      <c r="Y18" s="76" t="str">
        <f t="shared" si="18"/>
        <v/>
      </c>
      <c r="Z18" s="76" t="str">
        <f t="shared" si="19"/>
        <v/>
      </c>
      <c r="AA18" s="76" t="str">
        <f t="shared" si="20"/>
        <v/>
      </c>
      <c r="AB18" s="76" t="str">
        <f t="shared" si="21"/>
        <v/>
      </c>
    </row>
    <row r="19" spans="3:30" ht="15.75" thickBot="1" x14ac:dyDescent="0.3">
      <c r="F19" s="133" t="s">
        <v>95</v>
      </c>
      <c r="G19" s="133"/>
      <c r="H19" s="133"/>
      <c r="I19" s="133"/>
      <c r="J19" s="133"/>
      <c r="K19" s="133"/>
      <c r="L19" s="133"/>
      <c r="M19" s="133"/>
      <c r="N19" s="133"/>
      <c r="S19" s="2"/>
      <c r="T19" s="76">
        <f t="shared" si="13"/>
        <v>4.2517006802721138</v>
      </c>
      <c r="U19" s="76">
        <f t="shared" si="14"/>
        <v>3.4013605442176909</v>
      </c>
      <c r="V19" s="76">
        <f t="shared" si="15"/>
        <v>3.90625</v>
      </c>
      <c r="W19" s="76">
        <f t="shared" si="16"/>
        <v>4.1152263374485596</v>
      </c>
      <c r="X19" s="76">
        <f t="shared" si="17"/>
        <v>4.0584415584415598</v>
      </c>
      <c r="Y19" s="76" t="str">
        <f t="shared" si="18"/>
        <v/>
      </c>
      <c r="Z19" s="76" t="str">
        <f t="shared" si="19"/>
        <v/>
      </c>
      <c r="AA19" s="76" t="str">
        <f t="shared" si="20"/>
        <v/>
      </c>
      <c r="AB19" s="76" t="str">
        <f t="shared" si="21"/>
        <v/>
      </c>
    </row>
    <row r="20" spans="3:30" ht="15.75" thickBot="1" x14ac:dyDescent="0.3">
      <c r="F20" s="50" t="s">
        <v>123</v>
      </c>
      <c r="G20" s="7"/>
      <c r="H20" s="7"/>
      <c r="I20" s="110">
        <v>2</v>
      </c>
      <c r="J20" s="60" t="s">
        <v>124</v>
      </c>
      <c r="N20" s="7"/>
      <c r="R20" s="58" t="s">
        <v>97</v>
      </c>
      <c r="S20" s="2"/>
      <c r="T20" s="76" t="str">
        <f t="shared" si="13"/>
        <v/>
      </c>
      <c r="U20" s="76" t="str">
        <f t="shared" si="14"/>
        <v/>
      </c>
      <c r="V20" s="76" t="str">
        <f t="shared" si="15"/>
        <v/>
      </c>
      <c r="W20" s="76" t="str">
        <f t="shared" si="16"/>
        <v/>
      </c>
      <c r="X20" s="76" t="str">
        <f t="shared" si="17"/>
        <v/>
      </c>
      <c r="Y20" s="76" t="str">
        <f t="shared" si="18"/>
        <v/>
      </c>
      <c r="Z20" s="76" t="str">
        <f t="shared" si="19"/>
        <v/>
      </c>
      <c r="AA20" s="76" t="str">
        <f t="shared" si="20"/>
        <v/>
      </c>
      <c r="AB20" s="76" t="str">
        <f t="shared" si="21"/>
        <v/>
      </c>
    </row>
    <row r="21" spans="3:30" x14ac:dyDescent="0.25">
      <c r="F21" s="92">
        <f>F65</f>
        <v>2.8</v>
      </c>
      <c r="G21" s="92">
        <f t="shared" ref="G21:N21" si="22">G65</f>
        <v>3.5</v>
      </c>
      <c r="H21" s="92">
        <f t="shared" si="22"/>
        <v>4</v>
      </c>
      <c r="I21" s="112">
        <f t="shared" si="22"/>
        <v>4.5</v>
      </c>
      <c r="J21" s="92">
        <f t="shared" si="22"/>
        <v>5.6</v>
      </c>
      <c r="K21" s="92">
        <f t="shared" si="22"/>
        <v>6.7</v>
      </c>
      <c r="L21" s="92">
        <f t="shared" si="22"/>
        <v>8</v>
      </c>
      <c r="M21" s="92">
        <f t="shared" si="22"/>
        <v>9.5</v>
      </c>
      <c r="N21" s="92">
        <f t="shared" si="22"/>
        <v>11</v>
      </c>
      <c r="R21" s="58" t="s">
        <v>98</v>
      </c>
      <c r="S21" s="2"/>
      <c r="T21" s="76" t="str">
        <f t="shared" si="13"/>
        <v/>
      </c>
      <c r="U21" s="76" t="str">
        <f t="shared" si="14"/>
        <v/>
      </c>
      <c r="V21" s="76" t="str">
        <f t="shared" si="15"/>
        <v/>
      </c>
      <c r="W21" s="76" t="str">
        <f t="shared" si="16"/>
        <v/>
      </c>
      <c r="X21" s="76" t="str">
        <f t="shared" si="17"/>
        <v/>
      </c>
      <c r="Y21" s="76" t="str">
        <f t="shared" si="18"/>
        <v/>
      </c>
      <c r="Z21" s="76" t="str">
        <f t="shared" si="19"/>
        <v/>
      </c>
      <c r="AA21" s="76" t="str">
        <f t="shared" si="20"/>
        <v/>
      </c>
      <c r="AB21" s="76" t="str">
        <f t="shared" si="21"/>
        <v/>
      </c>
    </row>
    <row r="22" spans="3:30" x14ac:dyDescent="0.25">
      <c r="C22" s="132" t="s">
        <v>210</v>
      </c>
      <c r="D22" s="7" t="s">
        <v>17</v>
      </c>
      <c r="E22" s="93">
        <f t="shared" ref="E22:E31" si="23">M87</f>
        <v>0.2</v>
      </c>
      <c r="F22" s="17"/>
      <c r="G22" s="18"/>
      <c r="H22" s="18"/>
      <c r="I22" s="18"/>
      <c r="J22" s="18"/>
      <c r="K22" s="18"/>
      <c r="L22" s="18"/>
      <c r="M22" s="18"/>
      <c r="N22" s="19"/>
      <c r="R22" s="58" t="str">
        <f>CONCATENATE("use case switch (= ",$E$36,")")</f>
        <v>use case switch (= 1)</v>
      </c>
      <c r="S22" s="2"/>
      <c r="T22" s="76" t="str">
        <f t="shared" si="13"/>
        <v/>
      </c>
      <c r="U22" s="76" t="str">
        <f t="shared" si="14"/>
        <v/>
      </c>
      <c r="V22" s="76" t="str">
        <f t="shared" si="15"/>
        <v/>
      </c>
      <c r="W22" s="76" t="str">
        <f t="shared" si="16"/>
        <v/>
      </c>
      <c r="X22" s="76" t="str">
        <f t="shared" si="17"/>
        <v/>
      </c>
      <c r="Y22" s="76" t="str">
        <f t="shared" si="18"/>
        <v/>
      </c>
      <c r="Z22" s="76" t="str">
        <f t="shared" si="19"/>
        <v/>
      </c>
      <c r="AA22" s="76" t="str">
        <f t="shared" si="20"/>
        <v/>
      </c>
      <c r="AB22" s="76" t="str">
        <f t="shared" si="21"/>
        <v/>
      </c>
      <c r="AD22" s="1" t="s">
        <v>39</v>
      </c>
    </row>
    <row r="23" spans="3:30" x14ac:dyDescent="0.25">
      <c r="C23" s="132"/>
      <c r="D23" s="7" t="s">
        <v>18</v>
      </c>
      <c r="E23" s="93">
        <f t="shared" si="23"/>
        <v>0.25</v>
      </c>
      <c r="F23" s="20" t="s">
        <v>4</v>
      </c>
      <c r="G23" s="21" t="s">
        <v>4</v>
      </c>
      <c r="H23" s="21" t="s">
        <v>4</v>
      </c>
      <c r="I23" s="21" t="s">
        <v>44</v>
      </c>
      <c r="J23" s="21" t="s">
        <v>44</v>
      </c>
      <c r="K23" s="21"/>
      <c r="L23" s="21"/>
      <c r="M23" s="21"/>
      <c r="N23" s="22"/>
      <c r="P23" s="44"/>
      <c r="S23" s="2"/>
      <c r="T23" s="76" t="str">
        <f t="shared" si="13"/>
        <v/>
      </c>
      <c r="U23" s="76" t="str">
        <f t="shared" si="14"/>
        <v/>
      </c>
      <c r="V23" s="76" t="str">
        <f t="shared" si="15"/>
        <v/>
      </c>
      <c r="W23" s="76" t="str">
        <f t="shared" si="16"/>
        <v/>
      </c>
      <c r="X23" s="76" t="str">
        <f t="shared" si="17"/>
        <v/>
      </c>
      <c r="Y23" s="76" t="str">
        <f t="shared" si="18"/>
        <v/>
      </c>
      <c r="Z23" s="76" t="str">
        <f t="shared" si="19"/>
        <v/>
      </c>
      <c r="AA23" s="76" t="str">
        <f t="shared" si="20"/>
        <v/>
      </c>
      <c r="AB23" s="76" t="str">
        <f t="shared" si="21"/>
        <v/>
      </c>
      <c r="AD23" s="77">
        <f>IFERROR(AVERAGE(T14:AB23),"No use cases!")</f>
        <v>4.1129730084844436</v>
      </c>
    </row>
    <row r="24" spans="3:30" x14ac:dyDescent="0.25">
      <c r="C24" s="132"/>
      <c r="D24" s="7" t="str">
        <f>CONCATENATE("=  ",I8," m then")</f>
        <v>=  0.2 m then</v>
      </c>
      <c r="E24" s="93">
        <f t="shared" si="23"/>
        <v>0.5</v>
      </c>
      <c r="F24" s="20" t="s">
        <v>4</v>
      </c>
      <c r="G24" s="21" t="s">
        <v>4</v>
      </c>
      <c r="H24" s="21" t="s">
        <v>4</v>
      </c>
      <c r="I24" s="21" t="s">
        <v>44</v>
      </c>
      <c r="J24" s="21" t="s">
        <v>44</v>
      </c>
      <c r="K24" s="21"/>
      <c r="L24" s="21"/>
      <c r="M24" s="21"/>
      <c r="N24" s="22"/>
      <c r="P24" s="44"/>
    </row>
    <row r="25" spans="3:30" x14ac:dyDescent="0.25">
      <c r="C25" s="132"/>
      <c r="D25" s="7" t="s">
        <v>15</v>
      </c>
      <c r="E25" s="93">
        <f t="shared" si="23"/>
        <v>1</v>
      </c>
      <c r="F25" s="20" t="s">
        <v>4</v>
      </c>
      <c r="G25" s="21" t="s">
        <v>4</v>
      </c>
      <c r="H25" s="21" t="s">
        <v>4</v>
      </c>
      <c r="I25" s="21" t="s">
        <v>44</v>
      </c>
      <c r="J25" s="21" t="s">
        <v>44</v>
      </c>
      <c r="K25" s="21"/>
      <c r="L25" s="21"/>
      <c r="M25" s="21"/>
      <c r="N25" s="22"/>
      <c r="O25" s="33"/>
      <c r="P25" s="44"/>
      <c r="S25" s="64"/>
      <c r="T25" s="61">
        <f t="shared" ref="T25:AB25" si="24">F21</f>
        <v>2.8</v>
      </c>
      <c r="U25" s="61">
        <f t="shared" si="24"/>
        <v>3.5</v>
      </c>
      <c r="V25" s="61">
        <f t="shared" si="24"/>
        <v>4</v>
      </c>
      <c r="W25" s="61">
        <f t="shared" si="24"/>
        <v>4.5</v>
      </c>
      <c r="X25" s="61">
        <f t="shared" si="24"/>
        <v>5.6</v>
      </c>
      <c r="Y25" s="61">
        <f t="shared" si="24"/>
        <v>6.7</v>
      </c>
      <c r="Z25" s="61">
        <f t="shared" si="24"/>
        <v>8</v>
      </c>
      <c r="AA25" s="61">
        <f t="shared" si="24"/>
        <v>9.5</v>
      </c>
      <c r="AB25" s="61">
        <f t="shared" si="24"/>
        <v>11</v>
      </c>
    </row>
    <row r="26" spans="3:30" x14ac:dyDescent="0.25">
      <c r="C26" s="132"/>
      <c r="D26" s="7" t="str">
        <f>CONCATENATE("with SD = ",E23," m")</f>
        <v>with SD = 0.25 m</v>
      </c>
      <c r="E26" s="93">
        <f t="shared" si="23"/>
        <v>2</v>
      </c>
      <c r="F26" s="20" t="s">
        <v>4</v>
      </c>
      <c r="G26" s="21" t="s">
        <v>4</v>
      </c>
      <c r="H26" s="21" t="s">
        <v>4</v>
      </c>
      <c r="I26" s="21" t="s">
        <v>44</v>
      </c>
      <c r="J26" s="21" t="s">
        <v>44</v>
      </c>
      <c r="K26" s="21"/>
      <c r="L26" s="21"/>
      <c r="M26" s="21"/>
      <c r="N26" s="22"/>
      <c r="O26" s="33"/>
      <c r="P26" s="44"/>
      <c r="R26" s="15" t="s">
        <v>193</v>
      </c>
      <c r="S26" s="62">
        <f t="shared" ref="S26:S35" si="25">E22</f>
        <v>0.2</v>
      </c>
      <c r="T26" s="63" t="str">
        <f t="shared" ref="T26:AB26" si="26">IF(ISNUMBER(T14),$N$42*$S3*$S3*T$2,"")</f>
        <v/>
      </c>
      <c r="U26" s="63" t="str">
        <f t="shared" si="26"/>
        <v/>
      </c>
      <c r="V26" s="63" t="str">
        <f t="shared" si="26"/>
        <v/>
      </c>
      <c r="W26" s="63" t="str">
        <f t="shared" si="26"/>
        <v/>
      </c>
      <c r="X26" s="63" t="str">
        <f t="shared" si="26"/>
        <v/>
      </c>
      <c r="Y26" s="63" t="str">
        <f t="shared" si="26"/>
        <v/>
      </c>
      <c r="Z26" s="63" t="str">
        <f t="shared" si="26"/>
        <v/>
      </c>
      <c r="AA26" s="63" t="str">
        <f t="shared" si="26"/>
        <v/>
      </c>
      <c r="AB26" s="63" t="str">
        <f t="shared" si="26"/>
        <v/>
      </c>
      <c r="AC26" s="2"/>
    </row>
    <row r="27" spans="3:30" ht="15.75" thickBot="1" x14ac:dyDescent="0.3">
      <c r="C27" s="132"/>
      <c r="D27" s="60" t="s">
        <v>16</v>
      </c>
      <c r="E27" s="93">
        <f t="shared" si="23"/>
        <v>4</v>
      </c>
      <c r="F27" s="20" t="s">
        <v>44</v>
      </c>
      <c r="G27" s="21" t="s">
        <v>44</v>
      </c>
      <c r="H27" s="21" t="s">
        <v>44</v>
      </c>
      <c r="I27" s="21" t="s">
        <v>44</v>
      </c>
      <c r="J27" s="21" t="s">
        <v>44</v>
      </c>
      <c r="K27" s="21"/>
      <c r="L27" s="21"/>
      <c r="M27" s="21"/>
      <c r="N27" s="22"/>
      <c r="O27" s="33"/>
      <c r="P27" s="44"/>
      <c r="R27" s="15" t="s">
        <v>26</v>
      </c>
      <c r="S27" s="62">
        <f t="shared" si="25"/>
        <v>0.25</v>
      </c>
      <c r="T27" s="63">
        <f t="shared" ref="T27:AB27" si="27">IF(ISNUMBER(T15),$N$42*$S4*$S4*T$2,"")</f>
        <v>0.7</v>
      </c>
      <c r="U27" s="63">
        <f t="shared" si="27"/>
        <v>0.875</v>
      </c>
      <c r="V27" s="63">
        <f t="shared" si="27"/>
        <v>1</v>
      </c>
      <c r="W27" s="63">
        <f t="shared" si="27"/>
        <v>1.125</v>
      </c>
      <c r="X27" s="63">
        <f t="shared" si="27"/>
        <v>1.4</v>
      </c>
      <c r="Y27" s="63" t="str">
        <f t="shared" si="27"/>
        <v/>
      </c>
      <c r="Z27" s="63" t="str">
        <f t="shared" si="27"/>
        <v/>
      </c>
      <c r="AA27" s="63" t="str">
        <f t="shared" si="27"/>
        <v/>
      </c>
      <c r="AB27" s="63" t="str">
        <f t="shared" si="27"/>
        <v/>
      </c>
    </row>
    <row r="28" spans="3:30" ht="15.75" thickBot="1" x14ac:dyDescent="0.3">
      <c r="C28" s="132"/>
      <c r="D28" s="111">
        <v>1</v>
      </c>
      <c r="E28" s="94">
        <f t="shared" si="23"/>
        <v>8</v>
      </c>
      <c r="F28" s="20"/>
      <c r="G28" s="21"/>
      <c r="H28" s="21"/>
      <c r="I28" s="21"/>
      <c r="J28" s="21"/>
      <c r="K28" s="21"/>
      <c r="L28" s="21"/>
      <c r="M28" s="21"/>
      <c r="N28" s="22"/>
      <c r="R28" s="15" t="s">
        <v>27</v>
      </c>
      <c r="S28" s="62">
        <f t="shared" si="25"/>
        <v>0.5</v>
      </c>
      <c r="T28" s="63">
        <f t="shared" ref="T28:AB28" si="28">IF(ISNUMBER(T16),$N$42*$S5*$S5*T$2,"")</f>
        <v>2.8</v>
      </c>
      <c r="U28" s="63">
        <f t="shared" si="28"/>
        <v>3.5</v>
      </c>
      <c r="V28" s="63">
        <f t="shared" si="28"/>
        <v>4</v>
      </c>
      <c r="W28" s="63">
        <f t="shared" si="28"/>
        <v>4.5</v>
      </c>
      <c r="X28" s="63">
        <f t="shared" si="28"/>
        <v>5.6</v>
      </c>
      <c r="Y28" s="63" t="str">
        <f t="shared" si="28"/>
        <v/>
      </c>
      <c r="Z28" s="63" t="str">
        <f t="shared" si="28"/>
        <v/>
      </c>
      <c r="AA28" s="63" t="str">
        <f t="shared" si="28"/>
        <v/>
      </c>
      <c r="AB28" s="63" t="str">
        <f t="shared" si="28"/>
        <v/>
      </c>
      <c r="AC28" s="2"/>
    </row>
    <row r="29" spans="3:30" x14ac:dyDescent="0.25">
      <c r="C29" s="132"/>
      <c r="D29" s="7" t="s">
        <v>51</v>
      </c>
      <c r="E29" s="93">
        <f t="shared" si="23"/>
        <v>15</v>
      </c>
      <c r="F29" s="20"/>
      <c r="G29" s="21"/>
      <c r="H29" s="21"/>
      <c r="I29" s="21"/>
      <c r="J29" s="21"/>
      <c r="K29" s="21"/>
      <c r="L29" s="21"/>
      <c r="M29" s="21"/>
      <c r="N29" s="22"/>
      <c r="R29" s="52" t="s">
        <v>28</v>
      </c>
      <c r="S29" s="62">
        <f t="shared" si="25"/>
        <v>1</v>
      </c>
      <c r="T29" s="63">
        <f t="shared" ref="T29:AB29" si="29">IF(ISNUMBER(T17),$N$42*$S6*$S6*T$2,"")</f>
        <v>11.2</v>
      </c>
      <c r="U29" s="63">
        <f t="shared" si="29"/>
        <v>14</v>
      </c>
      <c r="V29" s="63">
        <f t="shared" si="29"/>
        <v>16</v>
      </c>
      <c r="W29" s="63">
        <f t="shared" si="29"/>
        <v>18</v>
      </c>
      <c r="X29" s="63">
        <f t="shared" si="29"/>
        <v>22.4</v>
      </c>
      <c r="Y29" s="63" t="str">
        <f t="shared" si="29"/>
        <v/>
      </c>
      <c r="Z29" s="63" t="str">
        <f t="shared" si="29"/>
        <v/>
      </c>
      <c r="AA29" s="63" t="str">
        <f t="shared" si="29"/>
        <v/>
      </c>
      <c r="AB29" s="63" t="str">
        <f t="shared" si="29"/>
        <v/>
      </c>
      <c r="AC29" s="11"/>
    </row>
    <row r="30" spans="3:30" x14ac:dyDescent="0.25">
      <c r="C30" s="132"/>
      <c r="D30" s="7" t="s">
        <v>52</v>
      </c>
      <c r="E30" s="93">
        <f t="shared" si="23"/>
        <v>30</v>
      </c>
      <c r="F30" s="20"/>
      <c r="G30" s="21"/>
      <c r="H30" s="21"/>
      <c r="I30" s="21"/>
      <c r="J30" s="21"/>
      <c r="K30" s="21"/>
      <c r="L30" s="21"/>
      <c r="M30" s="21"/>
      <c r="N30" s="22"/>
      <c r="R30" s="52" t="s">
        <v>22</v>
      </c>
      <c r="S30" s="62">
        <f t="shared" si="25"/>
        <v>2</v>
      </c>
      <c r="T30" s="63">
        <f t="shared" ref="T30:AB30" si="30">IF(ISNUMBER(T18),$N$42*$S7*$S7*T$2,"")</f>
        <v>44.8</v>
      </c>
      <c r="U30" s="63">
        <f t="shared" si="30"/>
        <v>56</v>
      </c>
      <c r="V30" s="63">
        <f t="shared" si="30"/>
        <v>64</v>
      </c>
      <c r="W30" s="63">
        <f t="shared" si="30"/>
        <v>72</v>
      </c>
      <c r="X30" s="63">
        <f t="shared" si="30"/>
        <v>89.6</v>
      </c>
      <c r="Y30" s="63" t="str">
        <f t="shared" si="30"/>
        <v/>
      </c>
      <c r="Z30" s="63" t="str">
        <f t="shared" si="30"/>
        <v/>
      </c>
      <c r="AA30" s="63" t="str">
        <f t="shared" si="30"/>
        <v/>
      </c>
      <c r="AB30" s="63" t="str">
        <f t="shared" si="30"/>
        <v/>
      </c>
      <c r="AC30" s="12"/>
    </row>
    <row r="31" spans="3:30" x14ac:dyDescent="0.25">
      <c r="C31" s="132"/>
      <c r="D31" s="7" t="s">
        <v>53</v>
      </c>
      <c r="E31" s="93">
        <f t="shared" si="23"/>
        <v>60</v>
      </c>
      <c r="F31" s="23"/>
      <c r="G31" s="24"/>
      <c r="H31" s="24"/>
      <c r="I31" s="24"/>
      <c r="J31" s="24"/>
      <c r="K31" s="24"/>
      <c r="L31" s="24"/>
      <c r="M31" s="24"/>
      <c r="N31" s="25"/>
      <c r="S31" s="62">
        <f t="shared" si="25"/>
        <v>4</v>
      </c>
      <c r="T31" s="63">
        <f t="shared" ref="T31:AB31" si="31">IF(ISNUMBER(T19),$N$42*$S8*$S8*T$2,"")</f>
        <v>179.2</v>
      </c>
      <c r="U31" s="63">
        <f t="shared" si="31"/>
        <v>224</v>
      </c>
      <c r="V31" s="63">
        <f t="shared" si="31"/>
        <v>256</v>
      </c>
      <c r="W31" s="63">
        <f t="shared" si="31"/>
        <v>288</v>
      </c>
      <c r="X31" s="63">
        <f t="shared" si="31"/>
        <v>358.4</v>
      </c>
      <c r="Y31" s="63" t="str">
        <f t="shared" si="31"/>
        <v/>
      </c>
      <c r="Z31" s="63" t="str">
        <f t="shared" si="31"/>
        <v/>
      </c>
      <c r="AA31" s="63" t="str">
        <f t="shared" si="31"/>
        <v/>
      </c>
      <c r="AB31" s="63" t="str">
        <f t="shared" si="31"/>
        <v/>
      </c>
      <c r="AC31" s="13"/>
    </row>
    <row r="32" spans="3:30" x14ac:dyDescent="0.25">
      <c r="R32" s="34" t="s">
        <v>217</v>
      </c>
      <c r="S32" s="62">
        <f t="shared" si="25"/>
        <v>8</v>
      </c>
      <c r="T32" s="63" t="str">
        <f t="shared" ref="T32:AB32" si="32">IF(ISNUMBER(T20),$N$42*$S9*$S9*T$2,"")</f>
        <v/>
      </c>
      <c r="U32" s="63" t="str">
        <f t="shared" si="32"/>
        <v/>
      </c>
      <c r="V32" s="63" t="str">
        <f t="shared" si="32"/>
        <v/>
      </c>
      <c r="W32" s="63" t="str">
        <f t="shared" si="32"/>
        <v/>
      </c>
      <c r="X32" s="63" t="str">
        <f t="shared" si="32"/>
        <v/>
      </c>
      <c r="Y32" s="63" t="str">
        <f t="shared" si="32"/>
        <v/>
      </c>
      <c r="Z32" s="63" t="str">
        <f t="shared" si="32"/>
        <v/>
      </c>
      <c r="AA32" s="63" t="str">
        <f t="shared" si="32"/>
        <v/>
      </c>
      <c r="AB32" s="63" t="str">
        <f t="shared" si="32"/>
        <v/>
      </c>
      <c r="AC32" s="11"/>
    </row>
    <row r="33" spans="2:30" x14ac:dyDescent="0.25">
      <c r="F33" s="78" t="s">
        <v>211</v>
      </c>
      <c r="G33" s="78"/>
      <c r="H33" s="78"/>
      <c r="I33" s="78"/>
      <c r="J33" s="78"/>
      <c r="K33" s="78"/>
      <c r="L33" s="78"/>
      <c r="M33" s="78"/>
      <c r="N33" s="78"/>
      <c r="R33" s="9" t="s">
        <v>2</v>
      </c>
      <c r="S33" s="62">
        <f t="shared" si="25"/>
        <v>15</v>
      </c>
      <c r="T33" s="63" t="str">
        <f t="shared" ref="T33:AB33" si="33">IF(ISNUMBER(T21),$N$42*$S10*$S10*T$2,"")</f>
        <v/>
      </c>
      <c r="U33" s="63" t="str">
        <f t="shared" si="33"/>
        <v/>
      </c>
      <c r="V33" s="63" t="str">
        <f t="shared" si="33"/>
        <v/>
      </c>
      <c r="W33" s="63" t="str">
        <f t="shared" si="33"/>
        <v/>
      </c>
      <c r="X33" s="63" t="str">
        <f t="shared" si="33"/>
        <v/>
      </c>
      <c r="Y33" s="63" t="str">
        <f t="shared" si="33"/>
        <v/>
      </c>
      <c r="Z33" s="63" t="str">
        <f t="shared" si="33"/>
        <v/>
      </c>
      <c r="AA33" s="63" t="str">
        <f t="shared" si="33"/>
        <v/>
      </c>
      <c r="AB33" s="63" t="str">
        <f t="shared" si="33"/>
        <v/>
      </c>
      <c r="AC33" s="13"/>
    </row>
    <row r="34" spans="2:30" x14ac:dyDescent="0.25">
      <c r="F34" t="s">
        <v>176</v>
      </c>
      <c r="S34" s="62">
        <f t="shared" si="25"/>
        <v>30</v>
      </c>
      <c r="T34" s="63" t="str">
        <f t="shared" ref="T34:AB34" si="34">IF(ISNUMBER(T22),$N$42*$S11*$S11*T$2,"")</f>
        <v/>
      </c>
      <c r="U34" s="63" t="str">
        <f t="shared" si="34"/>
        <v/>
      </c>
      <c r="V34" s="63" t="str">
        <f t="shared" si="34"/>
        <v/>
      </c>
      <c r="W34" s="63" t="str">
        <f t="shared" si="34"/>
        <v/>
      </c>
      <c r="X34" s="63" t="str">
        <f t="shared" si="34"/>
        <v/>
      </c>
      <c r="Y34" s="63" t="str">
        <f t="shared" si="34"/>
        <v/>
      </c>
      <c r="Z34" s="63" t="str">
        <f t="shared" si="34"/>
        <v/>
      </c>
      <c r="AA34" s="63" t="str">
        <f t="shared" si="34"/>
        <v/>
      </c>
      <c r="AB34" s="63" t="str">
        <f t="shared" si="34"/>
        <v/>
      </c>
      <c r="AC34" s="2"/>
    </row>
    <row r="35" spans="2:30" x14ac:dyDescent="0.25">
      <c r="S35" s="62">
        <f t="shared" si="25"/>
        <v>60</v>
      </c>
      <c r="T35" s="63" t="str">
        <f t="shared" ref="T35:AB35" si="35">IF(ISNUMBER(T23),$N$42*$S12*$S12*T$2,"")</f>
        <v/>
      </c>
      <c r="U35" s="63" t="str">
        <f t="shared" si="35"/>
        <v/>
      </c>
      <c r="V35" s="63" t="str">
        <f t="shared" si="35"/>
        <v/>
      </c>
      <c r="W35" s="63" t="str">
        <f t="shared" si="35"/>
        <v/>
      </c>
      <c r="X35" s="63" t="str">
        <f t="shared" si="35"/>
        <v/>
      </c>
      <c r="Y35" s="63" t="str">
        <f t="shared" si="35"/>
        <v/>
      </c>
      <c r="Z35" s="63" t="str">
        <f t="shared" si="35"/>
        <v/>
      </c>
      <c r="AA35" s="63" t="str">
        <f t="shared" si="35"/>
        <v/>
      </c>
      <c r="AB35" s="63" t="str">
        <f t="shared" si="35"/>
        <v/>
      </c>
      <c r="AC35" s="2"/>
    </row>
    <row r="36" spans="2:30" x14ac:dyDescent="0.25">
      <c r="B36" s="91" t="s">
        <v>187</v>
      </c>
      <c r="E36" s="89">
        <v>1</v>
      </c>
      <c r="F36" s="47" t="s">
        <v>162</v>
      </c>
      <c r="G36" s="33"/>
      <c r="H36" s="33"/>
      <c r="I36" s="33"/>
      <c r="J36" s="33"/>
      <c r="K36" s="33"/>
      <c r="L36" s="33"/>
      <c r="M36" s="33"/>
      <c r="N36" s="33"/>
      <c r="O36" s="33"/>
    </row>
    <row r="37" spans="2:30" x14ac:dyDescent="0.25">
      <c r="F37" s="9" t="str">
        <f>CONCATENATE("  For switch = ",$E$36,", the range of SD and aperture values are")</f>
        <v xml:space="preserve">  For switch = 1, the range of SD and aperture values are</v>
      </c>
      <c r="L37" s="67" t="str">
        <f>CONCATENATE($R$76," m to ",$R$77," m  &amp;  f/",$R$65," to f/",R66)</f>
        <v>0.25 m to 4 m  &amp;  f/2.8 to f/5.6</v>
      </c>
      <c r="M37" s="56"/>
      <c r="N37" s="56"/>
      <c r="R37" s="15" t="s">
        <v>194</v>
      </c>
      <c r="S37" s="2"/>
      <c r="T37" s="65" t="str">
        <f t="shared" ref="T37:AB37" si="36">IF(ISNUMBER(T26),(T26-T3)/MIN(T26,T3),"")</f>
        <v/>
      </c>
      <c r="U37" s="65" t="str">
        <f t="shared" si="36"/>
        <v/>
      </c>
      <c r="V37" s="65" t="str">
        <f t="shared" si="36"/>
        <v/>
      </c>
      <c r="W37" s="65" t="str">
        <f t="shared" si="36"/>
        <v/>
      </c>
      <c r="X37" s="65" t="str">
        <f t="shared" si="36"/>
        <v/>
      </c>
      <c r="Y37" s="65" t="str">
        <f t="shared" si="36"/>
        <v/>
      </c>
      <c r="Z37" s="65" t="str">
        <f t="shared" si="36"/>
        <v/>
      </c>
      <c r="AA37" s="65" t="str">
        <f t="shared" si="36"/>
        <v/>
      </c>
      <c r="AB37" s="65" t="str">
        <f t="shared" si="36"/>
        <v/>
      </c>
      <c r="AC37" s="2"/>
    </row>
    <row r="38" spans="2:30" x14ac:dyDescent="0.25">
      <c r="R38" s="15" t="s">
        <v>23</v>
      </c>
      <c r="S38" s="29"/>
      <c r="T38" s="65">
        <f t="shared" ref="T38:AB38" si="37">IF(ISNUMBER(T27),(T27-T4)/MIN(T27,T4),"")</f>
        <v>-0.11259457053849596</v>
      </c>
      <c r="U38" s="65">
        <f t="shared" si="37"/>
        <v>0.12349999999999987</v>
      </c>
      <c r="V38" s="65">
        <f t="shared" si="37"/>
        <v>-3.7344398340245277E-2</v>
      </c>
      <c r="W38" s="65">
        <f t="shared" si="37"/>
        <v>-0.10558319513542891</v>
      </c>
      <c r="X38" s="65">
        <f t="shared" si="37"/>
        <v>-0.10913930789707403</v>
      </c>
      <c r="Y38" s="65" t="str">
        <f t="shared" si="37"/>
        <v/>
      </c>
      <c r="Z38" s="65" t="str">
        <f t="shared" si="37"/>
        <v/>
      </c>
      <c r="AA38" s="65" t="str">
        <f t="shared" si="37"/>
        <v/>
      </c>
      <c r="AB38" s="65" t="str">
        <f t="shared" si="37"/>
        <v/>
      </c>
    </row>
    <row r="39" spans="2:30" x14ac:dyDescent="0.25">
      <c r="S39" s="2"/>
      <c r="T39" s="65">
        <f t="shared" ref="T39:AB39" si="38">IF(ISNUMBER(T28),(T28-T5)/MIN(T28,T5),"")</f>
        <v>-0.10913930789707403</v>
      </c>
      <c r="U39" s="65">
        <f t="shared" si="38"/>
        <v>0.12699999999999786</v>
      </c>
      <c r="V39" s="65">
        <f t="shared" si="38"/>
        <v>-3.3057851239665981E-2</v>
      </c>
      <c r="W39" s="65">
        <f t="shared" si="38"/>
        <v>-0.10011001100110109</v>
      </c>
      <c r="X39" s="65">
        <f t="shared" si="38"/>
        <v>-0.10229276895944059</v>
      </c>
      <c r="Y39" s="65" t="str">
        <f t="shared" si="38"/>
        <v/>
      </c>
      <c r="Z39" s="65" t="str">
        <f t="shared" si="38"/>
        <v/>
      </c>
      <c r="AA39" s="65" t="str">
        <f t="shared" si="38"/>
        <v/>
      </c>
      <c r="AB39" s="65" t="str">
        <f t="shared" si="38"/>
        <v/>
      </c>
      <c r="AC39" s="2"/>
    </row>
    <row r="40" spans="2:30" ht="15.75" thickBot="1" x14ac:dyDescent="0.3">
      <c r="B40" s="15" t="s">
        <v>188</v>
      </c>
      <c r="F40" s="130" t="str">
        <f>CONCATENATE("For focal length = ",$E$7," mm &amp; switch = ",$E$36," use cases")</f>
        <v>For focal length = 60 mm &amp; switch = 1 use cases</v>
      </c>
      <c r="G40" s="130"/>
      <c r="H40" s="130"/>
      <c r="I40" s="130"/>
      <c r="J40" s="130"/>
      <c r="K40" s="130"/>
      <c r="L40" s="130"/>
      <c r="M40" s="130"/>
      <c r="N40" s="130"/>
      <c r="R40" s="9" t="s">
        <v>20</v>
      </c>
      <c r="T40" s="65">
        <f t="shared" ref="T40:AB40" si="39">IF(ISNUMBER(T29),(T29-T6)/MIN(T29,T6),"")</f>
        <v>-0.10229276895944059</v>
      </c>
      <c r="U40" s="65">
        <f t="shared" si="39"/>
        <v>0.13399999999999496</v>
      </c>
      <c r="V40" s="65">
        <f t="shared" si="39"/>
        <v>-2.4590163934427256E-2</v>
      </c>
      <c r="W40" s="65">
        <f t="shared" si="39"/>
        <v>-8.9324618736385697E-2</v>
      </c>
      <c r="X40" s="65">
        <f t="shared" si="39"/>
        <v>-8.8850174216028907E-2</v>
      </c>
      <c r="Y40" s="65" t="str">
        <f t="shared" si="39"/>
        <v/>
      </c>
      <c r="Z40" s="65" t="str">
        <f t="shared" si="39"/>
        <v/>
      </c>
      <c r="AA40" s="65" t="str">
        <f t="shared" si="39"/>
        <v/>
      </c>
      <c r="AB40" s="65" t="str">
        <f t="shared" si="39"/>
        <v/>
      </c>
      <c r="AC40" s="11"/>
    </row>
    <row r="41" spans="2:30" ht="15.75" thickBot="1" x14ac:dyDescent="0.3">
      <c r="D41" s="16" t="s">
        <v>251</v>
      </c>
      <c r="E41" s="16"/>
      <c r="F41" s="108">
        <f>AD23</f>
        <v>4.1129730084844436</v>
      </c>
      <c r="G41" t="s">
        <v>218</v>
      </c>
      <c r="H41" s="5"/>
      <c r="M41" s="1" t="s">
        <v>161</v>
      </c>
      <c r="N41" s="111">
        <v>0</v>
      </c>
      <c r="R41" s="9" t="s">
        <v>10</v>
      </c>
      <c r="T41" s="65">
        <f t="shared" ref="T41:AB41" si="40">IF(ISNUMBER(T30),(T30-T7)/MIN(T30,T7),"")</f>
        <v>-8.8850174216028907E-2</v>
      </c>
      <c r="U41" s="65">
        <f t="shared" si="40"/>
        <v>0.14799999999999899</v>
      </c>
      <c r="V41" s="65">
        <f t="shared" si="40"/>
        <v>-8.0645161290313627E-3</v>
      </c>
      <c r="W41" s="65">
        <f t="shared" si="40"/>
        <v>-6.8376068376067745E-2</v>
      </c>
      <c r="X41" s="65">
        <f t="shared" si="40"/>
        <v>-6.2925170068028419E-2</v>
      </c>
      <c r="Y41" s="65" t="str">
        <f t="shared" si="40"/>
        <v/>
      </c>
      <c r="Z41" s="65" t="str">
        <f t="shared" si="40"/>
        <v/>
      </c>
      <c r="AA41" s="65" t="str">
        <f t="shared" si="40"/>
        <v/>
      </c>
      <c r="AB41" s="65" t="str">
        <f t="shared" si="40"/>
        <v/>
      </c>
      <c r="AC41" s="12"/>
    </row>
    <row r="42" spans="2:30" ht="15.75" thickBot="1" x14ac:dyDescent="0.3">
      <c r="F42" s="37"/>
      <c r="H42" s="5"/>
      <c r="M42" s="1" t="s">
        <v>261</v>
      </c>
      <c r="N42" s="148">
        <f>IF(OR(F41&lt;0.001,F41&gt;100000),"Err!",VLOOKUP(F41+N41*F41,G115:H195,2))</f>
        <v>4</v>
      </c>
      <c r="T42" s="65">
        <f t="shared" ref="T42:AB42" si="41">IF(ISNUMBER(T31),(T31-T8)/MIN(T31,T8),"")</f>
        <v>-6.2925170068028419E-2</v>
      </c>
      <c r="U42" s="65">
        <f t="shared" si="41"/>
        <v>0.17599999999999874</v>
      </c>
      <c r="V42" s="65">
        <f t="shared" si="41"/>
        <v>2.4E-2</v>
      </c>
      <c r="W42" s="65">
        <f t="shared" si="41"/>
        <v>-2.8806584362139946E-2</v>
      </c>
      <c r="X42" s="65">
        <f t="shared" si="41"/>
        <v>-1.4610389610389964E-2</v>
      </c>
      <c r="Y42" s="65" t="str">
        <f t="shared" si="41"/>
        <v/>
      </c>
      <c r="Z42" s="65" t="str">
        <f t="shared" si="41"/>
        <v/>
      </c>
      <c r="AA42" s="65" t="str">
        <f t="shared" si="41"/>
        <v/>
      </c>
      <c r="AB42" s="65" t="str">
        <f t="shared" si="41"/>
        <v/>
      </c>
      <c r="AC42" s="11"/>
      <c r="AD42" s="1" t="s">
        <v>40</v>
      </c>
    </row>
    <row r="43" spans="2:30" ht="15.75" thickBot="1" x14ac:dyDescent="0.3">
      <c r="F43" s="146" t="s">
        <v>269</v>
      </c>
      <c r="G43" s="149"/>
      <c r="H43" s="149"/>
      <c r="I43" s="149"/>
      <c r="J43" s="149"/>
      <c r="K43" s="149"/>
      <c r="L43" s="149"/>
      <c r="M43" s="149"/>
      <c r="N43" s="147"/>
      <c r="T43" s="65" t="str">
        <f t="shared" ref="T43:AB43" si="42">IF(ISNUMBER(T32),(T32-T9)/MIN(T32,T9),"")</f>
        <v/>
      </c>
      <c r="U43" s="65" t="str">
        <f t="shared" si="42"/>
        <v/>
      </c>
      <c r="V43" s="65" t="str">
        <f t="shared" si="42"/>
        <v/>
      </c>
      <c r="W43" s="65" t="str">
        <f t="shared" si="42"/>
        <v/>
      </c>
      <c r="X43" s="65" t="str">
        <f t="shared" si="42"/>
        <v/>
      </c>
      <c r="Y43" s="65" t="str">
        <f t="shared" si="42"/>
        <v/>
      </c>
      <c r="Z43" s="65" t="str">
        <f t="shared" si="42"/>
        <v/>
      </c>
      <c r="AA43" s="65" t="str">
        <f t="shared" si="42"/>
        <v/>
      </c>
      <c r="AB43" s="65" t="str">
        <f t="shared" si="42"/>
        <v/>
      </c>
      <c r="AC43" s="11"/>
      <c r="AD43" s="68">
        <f>SQRT(MAX(T48:AB57))</f>
        <v>0.17599999999999874</v>
      </c>
    </row>
    <row r="44" spans="2:30" x14ac:dyDescent="0.25">
      <c r="T44" s="65" t="str">
        <f t="shared" ref="T44:AB44" si="43">IF(ISNUMBER(T33),(T33-T10)/MIN(T33,T10),"")</f>
        <v/>
      </c>
      <c r="U44" s="65" t="str">
        <f t="shared" si="43"/>
        <v/>
      </c>
      <c r="V44" s="65" t="str">
        <f t="shared" si="43"/>
        <v/>
      </c>
      <c r="W44" s="65" t="str">
        <f t="shared" si="43"/>
        <v/>
      </c>
      <c r="X44" s="65" t="str">
        <f t="shared" si="43"/>
        <v/>
      </c>
      <c r="Y44" s="65" t="str">
        <f t="shared" si="43"/>
        <v/>
      </c>
      <c r="Z44" s="65" t="str">
        <f t="shared" si="43"/>
        <v/>
      </c>
      <c r="AA44" s="65" t="str">
        <f t="shared" si="43"/>
        <v/>
      </c>
      <c r="AB44" s="65" t="str">
        <f t="shared" si="43"/>
        <v/>
      </c>
      <c r="AC44" s="11"/>
    </row>
    <row r="45" spans="2:30" ht="15.75" thickBot="1" x14ac:dyDescent="0.3">
      <c r="B45" s="15" t="s">
        <v>189</v>
      </c>
      <c r="H45" s="1"/>
      <c r="I45" s="1" t="s">
        <v>104</v>
      </c>
      <c r="J45" s="129" t="s">
        <v>32</v>
      </c>
      <c r="K45" s="129"/>
      <c r="T45" s="65" t="str">
        <f t="shared" ref="T45:AB45" si="44">IF(ISNUMBER(T34),(T34-T11)/MIN(T34,T11),"")</f>
        <v/>
      </c>
      <c r="U45" s="65" t="str">
        <f t="shared" si="44"/>
        <v/>
      </c>
      <c r="V45" s="65" t="str">
        <f t="shared" si="44"/>
        <v/>
      </c>
      <c r="W45" s="65" t="str">
        <f t="shared" si="44"/>
        <v/>
      </c>
      <c r="X45" s="65" t="str">
        <f t="shared" si="44"/>
        <v/>
      </c>
      <c r="Y45" s="65" t="str">
        <f t="shared" si="44"/>
        <v/>
      </c>
      <c r="Z45" s="65" t="str">
        <f t="shared" si="44"/>
        <v/>
      </c>
      <c r="AA45" s="65" t="str">
        <f t="shared" si="44"/>
        <v/>
      </c>
      <c r="AB45" s="65" t="str">
        <f t="shared" si="44"/>
        <v/>
      </c>
      <c r="AC45" s="2"/>
      <c r="AD45" s="1" t="s">
        <v>39</v>
      </c>
    </row>
    <row r="46" spans="2:30" ht="15.75" thickBot="1" x14ac:dyDescent="0.3">
      <c r="D46" s="16" t="s">
        <v>141</v>
      </c>
      <c r="E46" s="9"/>
      <c r="F46" s="113">
        <f>AD57</f>
        <v>9.4223875345719021E-2</v>
      </c>
      <c r="G46" s="3"/>
      <c r="H46" s="51"/>
      <c r="I46" s="111">
        <v>0.35</v>
      </c>
      <c r="J46" s="144" t="str">
        <f>IF(F46&lt;I46/3,"Excellent",IF(F46&lt;2*I46/3,"Good",IF(F46&lt;I46,"OK","Above cut-off")))</f>
        <v>Excellent</v>
      </c>
      <c r="K46" s="145"/>
      <c r="L46" t="s">
        <v>239</v>
      </c>
      <c r="S46" s="2"/>
      <c r="T46" s="65" t="str">
        <f t="shared" ref="T46:AB46" si="45">IF(ISNUMBER(T35),(T35-T12)/MIN(T35,T12),"")</f>
        <v/>
      </c>
      <c r="U46" s="65" t="str">
        <f t="shared" si="45"/>
        <v/>
      </c>
      <c r="V46" s="65" t="str">
        <f t="shared" si="45"/>
        <v/>
      </c>
      <c r="W46" s="65" t="str">
        <f t="shared" si="45"/>
        <v/>
      </c>
      <c r="X46" s="65" t="str">
        <f t="shared" si="45"/>
        <v/>
      </c>
      <c r="Y46" s="65" t="str">
        <f t="shared" si="45"/>
        <v/>
      </c>
      <c r="Z46" s="65" t="str">
        <f t="shared" si="45"/>
        <v/>
      </c>
      <c r="AA46" s="65" t="str">
        <f t="shared" si="45"/>
        <v/>
      </c>
      <c r="AB46" s="65" t="str">
        <f t="shared" si="45"/>
        <v/>
      </c>
      <c r="AC46" s="2"/>
      <c r="AD46" s="69">
        <f>IFERROR(AVERAGE(T37:AB46),"No use cases!")</f>
        <v>-2.4655088387381306E-2</v>
      </c>
    </row>
    <row r="47" spans="2:30" ht="15.75" thickBot="1" x14ac:dyDescent="0.3">
      <c r="D47" s="16" t="s">
        <v>40</v>
      </c>
      <c r="E47" s="9"/>
      <c r="F47" s="114">
        <f>AD43</f>
        <v>0.17599999999999874</v>
      </c>
      <c r="G47" s="3"/>
      <c r="H47" s="51"/>
      <c r="I47" s="111">
        <v>0.5</v>
      </c>
      <c r="J47" s="144" t="str">
        <f>IF(F47&lt;I47/3,"Excellent",IF(F47&lt;2*I47/3,"Good",IF(F47&lt;I47,"OK","Above cut-off")))</f>
        <v>Good</v>
      </c>
      <c r="K47" s="145"/>
      <c r="L47" t="s">
        <v>238</v>
      </c>
    </row>
    <row r="48" spans="2:30" ht="15.75" thickBot="1" x14ac:dyDescent="0.3">
      <c r="D48" s="1" t="s">
        <v>240</v>
      </c>
      <c r="F48" s="114">
        <f>AD46</f>
        <v>-2.4655088387381306E-2</v>
      </c>
      <c r="G48" s="3"/>
      <c r="H48" s="51"/>
      <c r="I48" s="111">
        <v>0.3</v>
      </c>
      <c r="J48" s="144" t="str">
        <f>IF(ABS(F48)&lt;I48/3,"Excellent",IF(ABS(F48)&lt;2*I48/3,"Good",IF(ABS(F48)&lt;I48,"OK","Above cut-off")))</f>
        <v>Excellent</v>
      </c>
      <c r="K48" s="145"/>
      <c r="L48" t="s">
        <v>238</v>
      </c>
      <c r="R48" s="15" t="s">
        <v>203</v>
      </c>
      <c r="S48" s="2"/>
      <c r="T48" s="65" t="str">
        <f>IF(ISNUMBER(T37),T37^2,"")</f>
        <v/>
      </c>
      <c r="U48" s="65" t="str">
        <f t="shared" ref="U48:AB49" si="46">IF(ISNUMBER(U37),U37^2,"")</f>
        <v/>
      </c>
      <c r="V48" s="65" t="str">
        <f t="shared" si="46"/>
        <v/>
      </c>
      <c r="W48" s="65" t="str">
        <f t="shared" si="46"/>
        <v/>
      </c>
      <c r="X48" s="65" t="str">
        <f t="shared" si="46"/>
        <v/>
      </c>
      <c r="Y48" s="65" t="str">
        <f t="shared" si="46"/>
        <v/>
      </c>
      <c r="Z48" s="65" t="str">
        <f t="shared" si="46"/>
        <v/>
      </c>
      <c r="AA48" s="65" t="str">
        <f t="shared" si="46"/>
        <v/>
      </c>
      <c r="AB48" s="65" t="str">
        <f t="shared" si="46"/>
        <v/>
      </c>
    </row>
    <row r="49" spans="3:30" x14ac:dyDescent="0.25">
      <c r="F49" s="104"/>
      <c r="G49" s="104"/>
      <c r="H49" s="104"/>
      <c r="I49" s="104"/>
      <c r="J49" s="104"/>
      <c r="K49" s="104"/>
      <c r="L49" s="104"/>
      <c r="M49" s="104"/>
      <c r="N49" s="104"/>
      <c r="S49" s="2"/>
      <c r="T49" s="65">
        <f>IF(ISNUMBER(T38),T38^2,"")</f>
        <v>1.2677537314748343E-2</v>
      </c>
      <c r="U49" s="65">
        <f t="shared" si="46"/>
        <v>1.5252249999999969E-2</v>
      </c>
      <c r="V49" s="65">
        <f t="shared" si="46"/>
        <v>1.3946040873949142E-3</v>
      </c>
      <c r="W49" s="65">
        <f t="shared" si="46"/>
        <v>1.1147811095006059E-2</v>
      </c>
      <c r="X49" s="65">
        <f t="shared" si="46"/>
        <v>1.1911388528252326E-2</v>
      </c>
      <c r="Y49" s="65" t="str">
        <f t="shared" si="46"/>
        <v/>
      </c>
      <c r="Z49" s="65" t="str">
        <f t="shared" si="46"/>
        <v/>
      </c>
      <c r="AA49" s="65" t="str">
        <f t="shared" si="46"/>
        <v/>
      </c>
      <c r="AB49" s="65" t="str">
        <f t="shared" si="46"/>
        <v/>
      </c>
    </row>
    <row r="50" spans="3:30" x14ac:dyDescent="0.25">
      <c r="D50" s="1" t="s">
        <v>49</v>
      </c>
      <c r="F50" s="106" t="str">
        <f t="shared" ref="F50:N50" si="47">IF(ISBLANK(F22),"",IF(OR($E22&lt;$I$8,F$21&lt;$I$7,F$21&gt;$J$7),IF($E22&lt;$I$8,"Alert sd!","Alert f!"),"ok"))</f>
        <v/>
      </c>
      <c r="G50" s="101" t="str">
        <f t="shared" si="47"/>
        <v/>
      </c>
      <c r="H50" s="101" t="str">
        <f t="shared" si="47"/>
        <v/>
      </c>
      <c r="I50" s="101" t="str">
        <f t="shared" si="47"/>
        <v/>
      </c>
      <c r="J50" s="101" t="str">
        <f t="shared" si="47"/>
        <v/>
      </c>
      <c r="K50" s="101" t="str">
        <f t="shared" si="47"/>
        <v/>
      </c>
      <c r="L50" s="101" t="str">
        <f t="shared" si="47"/>
        <v/>
      </c>
      <c r="M50" s="101" t="str">
        <f t="shared" si="47"/>
        <v/>
      </c>
      <c r="N50" s="101" t="str">
        <f t="shared" si="47"/>
        <v/>
      </c>
      <c r="O50" s="105"/>
      <c r="R50" s="9" t="s">
        <v>21</v>
      </c>
      <c r="S50" s="2"/>
      <c r="T50" s="65">
        <f>IF(ISNUMBER(T39),T39^2,"")</f>
        <v>1.1911388528252326E-2</v>
      </c>
      <c r="U50" s="65">
        <f>IF(ISNUMBER(U39),U39^2,"")</f>
        <v>1.6128999999999456E-2</v>
      </c>
      <c r="V50" s="65">
        <f t="shared" ref="V50:AB50" si="48">IF(ISNUMBER(V39),V39^2,"")</f>
        <v>1.0928215285838855E-3</v>
      </c>
      <c r="W50" s="65">
        <f t="shared" si="48"/>
        <v>1.0022014302640582E-2</v>
      </c>
      <c r="X50" s="65">
        <f t="shared" si="48"/>
        <v>1.0463810581389493E-2</v>
      </c>
      <c r="Y50" s="65" t="str">
        <f t="shared" si="48"/>
        <v/>
      </c>
      <c r="Z50" s="65" t="str">
        <f t="shared" si="48"/>
        <v/>
      </c>
      <c r="AA50" s="65" t="str">
        <f t="shared" si="48"/>
        <v/>
      </c>
      <c r="AB50" s="65" t="str">
        <f t="shared" si="48"/>
        <v/>
      </c>
    </row>
    <row r="51" spans="3:30" x14ac:dyDescent="0.25">
      <c r="D51" s="1" t="s">
        <v>37</v>
      </c>
      <c r="E51" s="103"/>
      <c r="F51" s="101" t="str">
        <f t="shared" ref="F51:L51" si="49">IF(ISBLANK(F23),"",IF(OR($E23&lt;$I$8,F$21&lt;$I$7,F$21&gt;$J$7),IF($E23&lt;$I$8,"Alert sd!","Alert f!"),"ok"))</f>
        <v>ok</v>
      </c>
      <c r="G51" s="101" t="str">
        <f t="shared" si="49"/>
        <v>ok</v>
      </c>
      <c r="H51" s="101" t="str">
        <f t="shared" si="49"/>
        <v>ok</v>
      </c>
      <c r="I51" s="101" t="str">
        <f t="shared" si="49"/>
        <v>ok</v>
      </c>
      <c r="J51" s="101" t="str">
        <f t="shared" si="49"/>
        <v>ok</v>
      </c>
      <c r="K51" s="101" t="str">
        <f t="shared" si="49"/>
        <v/>
      </c>
      <c r="L51" s="101" t="str">
        <f t="shared" si="49"/>
        <v/>
      </c>
      <c r="M51" s="101" t="str">
        <f>IF(ISBLANK(M23),"",IF(OR($E23&lt;$I$8,M$21&lt;$I$7,M$21&gt;$J$7),IF($E23&lt;$I$8,"Alert sd!","Alert f!"),"ok"))</f>
        <v/>
      </c>
      <c r="N51" s="102" t="str">
        <f t="shared" ref="N51:N60" si="50">IF(ISBLANK(N23),"",IF(OR($E23&lt;$I$8,N$21&lt;$I$7,N$21&gt;$J$7),IF($E23&lt;$I$8,"Alert sd!","Alert f!"),"ok"))</f>
        <v/>
      </c>
      <c r="T51" s="65">
        <f t="shared" ref="T51:Z57" si="51">IF(ISNUMBER(T40),T40^2,"")</f>
        <v>1.0463810581389493E-2</v>
      </c>
      <c r="U51" s="65">
        <f t="shared" si="51"/>
        <v>1.7955999999998647E-2</v>
      </c>
      <c r="V51" s="65">
        <f>IF(ISNUMBER(V40),V40^2,"")</f>
        <v>6.0467616232200692E-4</v>
      </c>
      <c r="W51" s="65">
        <f t="shared" ref="W51:AB51" si="52">IF(ISNUMBER(W40),W40^2,"")</f>
        <v>7.9788875124006675E-3</v>
      </c>
      <c r="X51" s="65">
        <f t="shared" si="52"/>
        <v>7.8943534582186885E-3</v>
      </c>
      <c r="Y51" s="65" t="str">
        <f t="shared" si="52"/>
        <v/>
      </c>
      <c r="Z51" s="65" t="str">
        <f t="shared" si="52"/>
        <v/>
      </c>
      <c r="AA51" s="65" t="str">
        <f t="shared" si="52"/>
        <v/>
      </c>
      <c r="AB51" s="65" t="str">
        <f t="shared" si="52"/>
        <v/>
      </c>
    </row>
    <row r="52" spans="3:30" x14ac:dyDescent="0.25">
      <c r="D52" s="1" t="s">
        <v>212</v>
      </c>
      <c r="E52" s="103"/>
      <c r="F52" s="101" t="str">
        <f t="shared" ref="F52:M52" si="53">IF(ISBLANK(F24),"",IF(OR($E24&lt;$I$8,F$21&lt;$I$7,F$21&gt;$J$7),IF($E24&lt;$I$8,"Alert sd!","Alert f!"),"ok"))</f>
        <v>ok</v>
      </c>
      <c r="G52" s="101" t="str">
        <f t="shared" si="53"/>
        <v>ok</v>
      </c>
      <c r="H52" s="101" t="str">
        <f t="shared" si="53"/>
        <v>ok</v>
      </c>
      <c r="I52" s="101" t="str">
        <f t="shared" si="53"/>
        <v>ok</v>
      </c>
      <c r="J52" s="101" t="str">
        <f t="shared" si="53"/>
        <v>ok</v>
      </c>
      <c r="K52" s="101" t="str">
        <f t="shared" si="53"/>
        <v/>
      </c>
      <c r="L52" s="101" t="str">
        <f t="shared" si="53"/>
        <v/>
      </c>
      <c r="M52" s="101" t="str">
        <f t="shared" si="53"/>
        <v/>
      </c>
      <c r="N52" s="102" t="str">
        <f t="shared" si="50"/>
        <v/>
      </c>
      <c r="T52" s="65">
        <f t="shared" si="51"/>
        <v>7.8943534582186885E-3</v>
      </c>
      <c r="U52" s="65">
        <f t="shared" si="51"/>
        <v>2.1903999999999701E-2</v>
      </c>
      <c r="V52" s="65">
        <f t="shared" si="51"/>
        <v>6.5036420395406995E-5</v>
      </c>
      <c r="W52" s="65">
        <f>IF(ISNUMBER(W41),W41^2,"")</f>
        <v>4.6752867265686913E-3</v>
      </c>
      <c r="X52" s="65">
        <f t="shared" ref="X52:AB52" si="54">IF(ISNUMBER(X41),X41^2,"")</f>
        <v>3.9595770280902998E-3</v>
      </c>
      <c r="Y52" s="65" t="str">
        <f t="shared" si="54"/>
        <v/>
      </c>
      <c r="Z52" s="65" t="str">
        <f t="shared" si="54"/>
        <v/>
      </c>
      <c r="AA52" s="65" t="str">
        <f t="shared" si="54"/>
        <v/>
      </c>
      <c r="AB52" s="65" t="str">
        <f t="shared" si="54"/>
        <v/>
      </c>
      <c r="AC52" s="2"/>
    </row>
    <row r="53" spans="3:30" x14ac:dyDescent="0.25">
      <c r="D53" s="1" t="s">
        <v>50</v>
      </c>
      <c r="E53" s="103"/>
      <c r="F53" s="101" t="str">
        <f t="shared" ref="F53:M53" si="55">IF(ISBLANK(F25),"",IF(OR($E25&lt;$I$8,F$21&lt;$I$7,F$21&gt;$J$7),IF($E25&lt;$I$8,"Alert sd!","Alert f!"),"ok"))</f>
        <v>ok</v>
      </c>
      <c r="G53" s="101" t="str">
        <f t="shared" si="55"/>
        <v>ok</v>
      </c>
      <c r="H53" s="101" t="str">
        <f t="shared" si="55"/>
        <v>ok</v>
      </c>
      <c r="I53" s="101" t="str">
        <f t="shared" si="55"/>
        <v>ok</v>
      </c>
      <c r="J53" s="101" t="str">
        <f t="shared" si="55"/>
        <v>ok</v>
      </c>
      <c r="K53" s="101" t="str">
        <f t="shared" si="55"/>
        <v/>
      </c>
      <c r="L53" s="101" t="str">
        <f t="shared" si="55"/>
        <v/>
      </c>
      <c r="M53" s="101" t="str">
        <f t="shared" si="55"/>
        <v/>
      </c>
      <c r="N53" s="102" t="str">
        <f t="shared" si="50"/>
        <v/>
      </c>
      <c r="T53" s="65">
        <f t="shared" si="51"/>
        <v>3.9595770280902998E-3</v>
      </c>
      <c r="U53" s="65">
        <f t="shared" si="51"/>
        <v>3.0975999999999556E-2</v>
      </c>
      <c r="V53" s="65">
        <f t="shared" si="51"/>
        <v>5.7600000000000001E-4</v>
      </c>
      <c r="W53" s="65">
        <f t="shared" si="51"/>
        <v>8.2981930261308572E-4</v>
      </c>
      <c r="X53" s="65">
        <f>IF(ISNUMBER(X42),X42^2,"")</f>
        <v>2.1346348456739101E-4</v>
      </c>
      <c r="Y53" s="65" t="str">
        <f t="shared" ref="Y53:AB53" si="56">IF(ISNUMBER(Y42),Y42^2,"")</f>
        <v/>
      </c>
      <c r="Z53" s="65" t="str">
        <f t="shared" si="56"/>
        <v/>
      </c>
      <c r="AA53" s="65" t="str">
        <f t="shared" si="56"/>
        <v/>
      </c>
      <c r="AB53" s="65" t="str">
        <f t="shared" si="56"/>
        <v/>
      </c>
      <c r="AC53" s="2"/>
      <c r="AD53" s="1"/>
    </row>
    <row r="54" spans="3:30" x14ac:dyDescent="0.25">
      <c r="E54" s="103"/>
      <c r="F54" s="101" t="str">
        <f t="shared" ref="F54:M54" si="57">IF(ISBLANK(F26),"",IF(OR($E26&lt;$I$8,F$21&lt;$I$7,F$21&gt;$J$7),IF($E26&lt;$I$8,"Alert sd!","Alert f!"),"ok"))</f>
        <v>ok</v>
      </c>
      <c r="G54" s="101" t="str">
        <f t="shared" si="57"/>
        <v>ok</v>
      </c>
      <c r="H54" s="101" t="str">
        <f t="shared" si="57"/>
        <v>ok</v>
      </c>
      <c r="I54" s="101" t="str">
        <f t="shared" si="57"/>
        <v>ok</v>
      </c>
      <c r="J54" s="101" t="str">
        <f t="shared" si="57"/>
        <v>ok</v>
      </c>
      <c r="K54" s="101" t="str">
        <f t="shared" si="57"/>
        <v/>
      </c>
      <c r="L54" s="101" t="str">
        <f t="shared" si="57"/>
        <v/>
      </c>
      <c r="M54" s="101" t="str">
        <f t="shared" si="57"/>
        <v/>
      </c>
      <c r="N54" s="102" t="str">
        <f t="shared" si="50"/>
        <v/>
      </c>
      <c r="O54" s="30"/>
      <c r="T54" s="65" t="str">
        <f t="shared" si="51"/>
        <v/>
      </c>
      <c r="U54" s="65" t="str">
        <f t="shared" si="51"/>
        <v/>
      </c>
      <c r="V54" s="65" t="str">
        <f t="shared" si="51"/>
        <v/>
      </c>
      <c r="W54" s="65" t="str">
        <f t="shared" si="51"/>
        <v/>
      </c>
      <c r="X54" s="65" t="str">
        <f t="shared" si="51"/>
        <v/>
      </c>
      <c r="Y54" s="65" t="str">
        <f>IF(ISNUMBER(Y43),Y43^2,"")</f>
        <v/>
      </c>
      <c r="Z54" s="65" t="str">
        <f t="shared" ref="Z54:AB54" si="58">IF(ISNUMBER(Z43),Z43^2,"")</f>
        <v/>
      </c>
      <c r="AA54" s="65" t="str">
        <f t="shared" si="58"/>
        <v/>
      </c>
      <c r="AB54" s="65" t="str">
        <f t="shared" si="58"/>
        <v/>
      </c>
      <c r="AC54" s="2"/>
      <c r="AD54" s="8"/>
    </row>
    <row r="55" spans="3:30" x14ac:dyDescent="0.25">
      <c r="E55" s="103"/>
      <c r="F55" s="101" t="str">
        <f t="shared" ref="F55:M55" si="59">IF(ISBLANK(F27),"",IF(OR($E27&lt;$I$8,F$21&lt;$I$7,F$21&gt;$J$7),IF($E27&lt;$I$8,"Alert sd!","Alert f!"),"ok"))</f>
        <v>ok</v>
      </c>
      <c r="G55" s="101" t="str">
        <f t="shared" si="59"/>
        <v>ok</v>
      </c>
      <c r="H55" s="101" t="str">
        <f t="shared" si="59"/>
        <v>ok</v>
      </c>
      <c r="I55" s="101" t="str">
        <f t="shared" si="59"/>
        <v>ok</v>
      </c>
      <c r="J55" s="101" t="str">
        <f t="shared" si="59"/>
        <v>ok</v>
      </c>
      <c r="K55" s="101" t="str">
        <f t="shared" si="59"/>
        <v/>
      </c>
      <c r="L55" s="101" t="str">
        <f t="shared" si="59"/>
        <v/>
      </c>
      <c r="M55" s="101" t="str">
        <f t="shared" si="59"/>
        <v/>
      </c>
      <c r="N55" s="102" t="str">
        <f t="shared" si="50"/>
        <v/>
      </c>
      <c r="T55" s="65" t="str">
        <f t="shared" si="51"/>
        <v/>
      </c>
      <c r="U55" s="65" t="str">
        <f t="shared" si="51"/>
        <v/>
      </c>
      <c r="V55" s="65" t="str">
        <f t="shared" si="51"/>
        <v/>
      </c>
      <c r="W55" s="65" t="str">
        <f t="shared" si="51"/>
        <v/>
      </c>
      <c r="X55" s="65" t="str">
        <f t="shared" si="51"/>
        <v/>
      </c>
      <c r="Y55" s="65" t="str">
        <f t="shared" si="51"/>
        <v/>
      </c>
      <c r="Z55" s="65" t="str">
        <f>IF(ISNUMBER(Z44),Z44^2,"")</f>
        <v/>
      </c>
      <c r="AA55" s="65" t="str">
        <f t="shared" ref="AA55:AB55" si="60">IF(ISNUMBER(AA44),AA44^2,"")</f>
        <v/>
      </c>
      <c r="AB55" s="65" t="str">
        <f t="shared" si="60"/>
        <v/>
      </c>
      <c r="AC55" s="2"/>
    </row>
    <row r="56" spans="3:30" x14ac:dyDescent="0.25">
      <c r="E56" s="103"/>
      <c r="F56" s="101" t="str">
        <f t="shared" ref="F56:M56" si="61">IF(ISBLANK(F28),"",IF(OR($E28&lt;$I$8,F$21&lt;$I$7,F$21&gt;$J$7),IF($E28&lt;$I$8,"Alert sd!","Alert f!"),"ok"))</f>
        <v/>
      </c>
      <c r="G56" s="101" t="str">
        <f t="shared" si="61"/>
        <v/>
      </c>
      <c r="H56" s="101" t="str">
        <f t="shared" si="61"/>
        <v/>
      </c>
      <c r="I56" s="101" t="str">
        <f t="shared" si="61"/>
        <v/>
      </c>
      <c r="J56" s="101" t="str">
        <f t="shared" si="61"/>
        <v/>
      </c>
      <c r="K56" s="101" t="str">
        <f t="shared" si="61"/>
        <v/>
      </c>
      <c r="L56" s="101" t="str">
        <f t="shared" si="61"/>
        <v/>
      </c>
      <c r="M56" s="101" t="str">
        <f t="shared" si="61"/>
        <v/>
      </c>
      <c r="N56" s="102" t="str">
        <f t="shared" si="50"/>
        <v/>
      </c>
      <c r="T56" s="65" t="str">
        <f t="shared" si="51"/>
        <v/>
      </c>
      <c r="U56" s="65" t="str">
        <f t="shared" si="51"/>
        <v/>
      </c>
      <c r="V56" s="65" t="str">
        <f t="shared" si="51"/>
        <v/>
      </c>
      <c r="W56" s="65" t="str">
        <f t="shared" si="51"/>
        <v/>
      </c>
      <c r="X56" s="65" t="str">
        <f t="shared" si="51"/>
        <v/>
      </c>
      <c r="Y56" s="65" t="str">
        <f t="shared" si="51"/>
        <v/>
      </c>
      <c r="Z56" s="65" t="str">
        <f t="shared" si="51"/>
        <v/>
      </c>
      <c r="AA56" s="65" t="str">
        <f>IF(ISNUMBER(AA45),AA45^2,"")</f>
        <v/>
      </c>
      <c r="AB56" s="65" t="str">
        <f t="shared" ref="AB56" si="62">IF(ISNUMBER(AB45),AB45^2,"")</f>
        <v/>
      </c>
      <c r="AC56" s="2"/>
      <c r="AD56" s="1" t="s">
        <v>90</v>
      </c>
    </row>
    <row r="57" spans="3:30" x14ac:dyDescent="0.25">
      <c r="E57" s="103"/>
      <c r="F57" s="101" t="str">
        <f t="shared" ref="F57:M57" si="63">IF(ISBLANK(F29),"",IF(OR($E29&lt;$I$8,F$21&lt;$I$7,F$21&gt;$J$7),IF($E29&lt;$I$8,"Alert sd!","Alert f!"),"ok"))</f>
        <v/>
      </c>
      <c r="G57" s="101" t="str">
        <f t="shared" si="63"/>
        <v/>
      </c>
      <c r="H57" s="101" t="str">
        <f t="shared" si="63"/>
        <v/>
      </c>
      <c r="I57" s="101" t="str">
        <f t="shared" si="63"/>
        <v/>
      </c>
      <c r="J57" s="101" t="str">
        <f t="shared" si="63"/>
        <v/>
      </c>
      <c r="K57" s="101" t="str">
        <f t="shared" si="63"/>
        <v/>
      </c>
      <c r="L57" s="101" t="str">
        <f t="shared" si="63"/>
        <v/>
      </c>
      <c r="M57" s="101" t="str">
        <f t="shared" si="63"/>
        <v/>
      </c>
      <c r="N57" s="102" t="str">
        <f t="shared" si="50"/>
        <v/>
      </c>
      <c r="P57" s="45"/>
      <c r="S57" s="2"/>
      <c r="T57" s="65" t="str">
        <f t="shared" si="51"/>
        <v/>
      </c>
      <c r="U57" s="65" t="str">
        <f t="shared" si="51"/>
        <v/>
      </c>
      <c r="V57" s="65" t="str">
        <f t="shared" si="51"/>
        <v/>
      </c>
      <c r="W57" s="65" t="str">
        <f t="shared" si="51"/>
        <v/>
      </c>
      <c r="X57" s="65" t="str">
        <f t="shared" si="51"/>
        <v/>
      </c>
      <c r="Y57" s="65" t="str">
        <f t="shared" si="51"/>
        <v/>
      </c>
      <c r="Z57" s="65" t="str">
        <f t="shared" si="51"/>
        <v/>
      </c>
      <c r="AA57" s="65" t="str">
        <f>IF(ISNUMBER(AA46),AA46^2,"")</f>
        <v/>
      </c>
      <c r="AB57" s="65" t="str">
        <f>IF(ISNUMBER(AB46),AB46^2,"")</f>
        <v/>
      </c>
      <c r="AC57" s="2"/>
      <c r="AD57" s="66">
        <f>IFERROR(SQRT(SUM(T48:AB57)/COUNT(T48:AB57)),"No use cases!")</f>
        <v>9.4223875345719021E-2</v>
      </c>
    </row>
    <row r="58" spans="3:30" x14ac:dyDescent="0.25">
      <c r="E58" s="103"/>
      <c r="F58" s="101" t="str">
        <f t="shared" ref="F58:M58" si="64">IF(ISBLANK(F30),"",IF(OR($E30&lt;$I$8,F$21&lt;$I$7,F$21&gt;$J$7),IF($E30&lt;$I$8,"Alert sd!","Alert f!"),"ok"))</f>
        <v/>
      </c>
      <c r="G58" s="101" t="str">
        <f t="shared" si="64"/>
        <v/>
      </c>
      <c r="H58" s="101" t="str">
        <f t="shared" si="64"/>
        <v/>
      </c>
      <c r="I58" s="101" t="str">
        <f t="shared" si="64"/>
        <v/>
      </c>
      <c r="J58" s="101" t="str">
        <f t="shared" si="64"/>
        <v/>
      </c>
      <c r="K58" s="101" t="str">
        <f t="shared" si="64"/>
        <v/>
      </c>
      <c r="L58" s="101" t="str">
        <f t="shared" si="64"/>
        <v/>
      </c>
      <c r="M58" s="101" t="str">
        <f t="shared" si="64"/>
        <v/>
      </c>
      <c r="N58" s="102" t="str">
        <f t="shared" si="50"/>
        <v/>
      </c>
      <c r="AC58" s="2"/>
    </row>
    <row r="59" spans="3:30" x14ac:dyDescent="0.25">
      <c r="E59" s="103"/>
      <c r="F59" s="101" t="str">
        <f t="shared" ref="F59:M59" si="65">IF(ISBLANK(F31),"",IF(OR($E31&lt;$I$8,F$21&lt;$I$7,F$21&gt;$J$7),IF($E31&lt;$I$8,"Alert sd!","Alert f!"),"ok"))</f>
        <v/>
      </c>
      <c r="G59" s="101" t="str">
        <f t="shared" si="65"/>
        <v/>
      </c>
      <c r="H59" s="101" t="str">
        <f t="shared" si="65"/>
        <v/>
      </c>
      <c r="I59" s="101" t="str">
        <f t="shared" si="65"/>
        <v/>
      </c>
      <c r="J59" s="101" t="str">
        <f t="shared" si="65"/>
        <v/>
      </c>
      <c r="K59" s="101" t="str">
        <f t="shared" si="65"/>
        <v/>
      </c>
      <c r="L59" s="101" t="str">
        <f t="shared" si="65"/>
        <v/>
      </c>
      <c r="M59" s="101" t="str">
        <f t="shared" si="65"/>
        <v/>
      </c>
      <c r="N59" s="102" t="str">
        <f t="shared" si="50"/>
        <v/>
      </c>
      <c r="AC59" s="2"/>
    </row>
    <row r="60" spans="3:30" x14ac:dyDescent="0.25">
      <c r="E60" s="2"/>
      <c r="F60" s="107" t="str">
        <f t="shared" ref="F60:M60" si="66">IF(ISBLANK(F32),"",IF(OR($E32&lt;$I$8,F$21&lt;$I$7,F$21&gt;$J$7),IF($E32&lt;$I$8,"Alert sd!","Alert f!"),"ok"))</f>
        <v/>
      </c>
      <c r="G60" s="107" t="str">
        <f t="shared" si="66"/>
        <v/>
      </c>
      <c r="H60" s="107" t="str">
        <f t="shared" si="66"/>
        <v/>
      </c>
      <c r="I60" s="107" t="str">
        <f t="shared" si="66"/>
        <v/>
      </c>
      <c r="J60" s="107" t="str">
        <f t="shared" si="66"/>
        <v/>
      </c>
      <c r="K60" s="107" t="str">
        <f t="shared" si="66"/>
        <v/>
      </c>
      <c r="L60" s="107" t="str">
        <f t="shared" si="66"/>
        <v/>
      </c>
      <c r="M60" s="107" t="str">
        <f t="shared" si="66"/>
        <v/>
      </c>
      <c r="N60" s="107" t="str">
        <f t="shared" si="50"/>
        <v/>
      </c>
      <c r="O60" s="2"/>
      <c r="AC60" s="2"/>
    </row>
    <row r="61" spans="3:30" x14ac:dyDescent="0.25">
      <c r="AC61" s="2"/>
    </row>
    <row r="62" spans="3:30" s="48" customFormat="1" x14ac:dyDescent="0.25">
      <c r="P62" s="49"/>
    </row>
    <row r="63" spans="3:30" x14ac:dyDescent="0.25">
      <c r="C63" s="15" t="s">
        <v>164</v>
      </c>
      <c r="D63" s="7"/>
      <c r="E63" s="7"/>
      <c r="F63" s="16" t="s">
        <v>121</v>
      </c>
      <c r="G63" s="83" t="s">
        <v>115</v>
      </c>
      <c r="H63" s="7"/>
      <c r="I63" s="16" t="s">
        <v>122</v>
      </c>
      <c r="J63" s="38"/>
      <c r="K63" s="38"/>
      <c r="L63" s="38"/>
      <c r="M63" s="38"/>
      <c r="N63" s="38"/>
      <c r="R63" s="15" t="s">
        <v>13</v>
      </c>
      <c r="AC63" s="2"/>
    </row>
    <row r="64" spans="3:30" x14ac:dyDescent="0.25">
      <c r="D64" s="7"/>
      <c r="F64">
        <f>I7</f>
        <v>2.8</v>
      </c>
      <c r="G64">
        <f>IF($I$20=1,VLOOKUP(F64,$E$70:$F$82,2),IF($I$20=2,VLOOKUP(F64,$G$70:$H$91,2),VLOOKUP(F64,$I$70:$J$100,2)))</f>
        <v>3.5</v>
      </c>
      <c r="H64">
        <f t="shared" ref="H64:N64" si="67">IF($I$20=1,VLOOKUP(G64,$E$70:$F$82,2),IF($I$20=2,VLOOKUP(G64,$G$70:$H$91,2),VLOOKUP(G64,$I$70:$J$100,2)))</f>
        <v>4</v>
      </c>
      <c r="I64">
        <f t="shared" si="67"/>
        <v>4.5</v>
      </c>
      <c r="J64">
        <f t="shared" si="67"/>
        <v>5.6</v>
      </c>
      <c r="K64">
        <f t="shared" si="67"/>
        <v>6.7</v>
      </c>
      <c r="L64">
        <f t="shared" si="67"/>
        <v>8</v>
      </c>
      <c r="M64">
        <f t="shared" si="67"/>
        <v>9.5</v>
      </c>
      <c r="N64">
        <f t="shared" si="67"/>
        <v>11</v>
      </c>
      <c r="S64" s="14"/>
      <c r="T64" s="36" t="str">
        <f t="shared" ref="T64:AB64" si="68">IF(ISNUMBER(T26),T$25,"")</f>
        <v/>
      </c>
      <c r="U64" s="36" t="str">
        <f t="shared" si="68"/>
        <v/>
      </c>
      <c r="V64" s="36" t="str">
        <f t="shared" si="68"/>
        <v/>
      </c>
      <c r="W64" s="36" t="str">
        <f t="shared" si="68"/>
        <v/>
      </c>
      <c r="X64" s="36" t="str">
        <f t="shared" si="68"/>
        <v/>
      </c>
      <c r="Y64" s="36" t="str">
        <f t="shared" si="68"/>
        <v/>
      </c>
      <c r="Z64" s="36" t="str">
        <f t="shared" si="68"/>
        <v/>
      </c>
      <c r="AA64" s="36" t="str">
        <f t="shared" si="68"/>
        <v/>
      </c>
      <c r="AB64" s="36" t="str">
        <f t="shared" si="68"/>
        <v/>
      </c>
      <c r="AC64" s="2"/>
    </row>
    <row r="65" spans="3:40" x14ac:dyDescent="0.25">
      <c r="D65" s="96" t="s">
        <v>209</v>
      </c>
      <c r="F65" s="84">
        <f>IF(F64&gt;$J$7,"",F64)</f>
        <v>2.8</v>
      </c>
      <c r="G65" s="84">
        <f t="shared" ref="G65:N65" si="69">IF(G64&gt;$J$7,"",G64)</f>
        <v>3.5</v>
      </c>
      <c r="H65" s="84">
        <f t="shared" si="69"/>
        <v>4</v>
      </c>
      <c r="I65" s="84">
        <f t="shared" si="69"/>
        <v>4.5</v>
      </c>
      <c r="J65" s="84">
        <f t="shared" si="69"/>
        <v>5.6</v>
      </c>
      <c r="K65" s="84">
        <f t="shared" si="69"/>
        <v>6.7</v>
      </c>
      <c r="L65" s="84">
        <f t="shared" si="69"/>
        <v>8</v>
      </c>
      <c r="M65" s="84">
        <f t="shared" si="69"/>
        <v>9.5</v>
      </c>
      <c r="N65" s="84">
        <f t="shared" si="69"/>
        <v>11</v>
      </c>
      <c r="R65" s="14">
        <f>MIN(T64:AB73)</f>
        <v>2.8</v>
      </c>
      <c r="S65" s="14"/>
      <c r="T65" s="36">
        <f t="shared" ref="T65:AB65" si="70">IF(ISNUMBER(T27),T$25,"")</f>
        <v>2.8</v>
      </c>
      <c r="U65" s="36">
        <f t="shared" si="70"/>
        <v>3.5</v>
      </c>
      <c r="V65" s="36">
        <f t="shared" si="70"/>
        <v>4</v>
      </c>
      <c r="W65" s="36">
        <f t="shared" si="70"/>
        <v>4.5</v>
      </c>
      <c r="X65" s="36">
        <f t="shared" si="70"/>
        <v>5.6</v>
      </c>
      <c r="Y65" s="36" t="str">
        <f t="shared" si="70"/>
        <v/>
      </c>
      <c r="Z65" s="36" t="str">
        <f t="shared" si="70"/>
        <v/>
      </c>
      <c r="AA65" s="36" t="str">
        <f t="shared" si="70"/>
        <v/>
      </c>
      <c r="AB65" s="36" t="str">
        <f t="shared" si="70"/>
        <v/>
      </c>
      <c r="AC65" s="2"/>
    </row>
    <row r="66" spans="3:40" x14ac:dyDescent="0.25">
      <c r="R66" s="14">
        <f>MAX(T64:AB73)</f>
        <v>5.6</v>
      </c>
      <c r="S66" s="14"/>
      <c r="T66" s="36">
        <f t="shared" ref="T66:AB66" si="71">IF(ISNUMBER(T28),T$25,"")</f>
        <v>2.8</v>
      </c>
      <c r="U66" s="36">
        <f t="shared" si="71"/>
        <v>3.5</v>
      </c>
      <c r="V66" s="36">
        <f t="shared" si="71"/>
        <v>4</v>
      </c>
      <c r="W66" s="36">
        <f t="shared" si="71"/>
        <v>4.5</v>
      </c>
      <c r="X66" s="36">
        <f t="shared" si="71"/>
        <v>5.6</v>
      </c>
      <c r="Y66" s="36" t="str">
        <f t="shared" si="71"/>
        <v/>
      </c>
      <c r="Z66" s="36" t="str">
        <f t="shared" si="71"/>
        <v/>
      </c>
      <c r="AA66" s="36" t="str">
        <f t="shared" si="71"/>
        <v/>
      </c>
      <c r="AB66" s="36" t="str">
        <f t="shared" si="71"/>
        <v/>
      </c>
      <c r="AC66" s="2"/>
    </row>
    <row r="67" spans="3:40" x14ac:dyDescent="0.25">
      <c r="C67" s="15"/>
      <c r="D67" s="1" t="s">
        <v>112</v>
      </c>
      <c r="E67" s="1">
        <v>1</v>
      </c>
      <c r="F67" s="1" t="s">
        <v>115</v>
      </c>
      <c r="G67" s="1">
        <v>2</v>
      </c>
      <c r="H67" s="1" t="s">
        <v>115</v>
      </c>
      <c r="I67" s="1">
        <v>3</v>
      </c>
      <c r="J67" s="1" t="s">
        <v>115</v>
      </c>
      <c r="L67" s="87" t="s">
        <v>219</v>
      </c>
      <c r="S67" s="14"/>
      <c r="T67" s="36">
        <f t="shared" ref="T67:AB67" si="72">IF(ISNUMBER(T29),T$25,"")</f>
        <v>2.8</v>
      </c>
      <c r="U67" s="36">
        <f t="shared" si="72"/>
        <v>3.5</v>
      </c>
      <c r="V67" s="36">
        <f t="shared" si="72"/>
        <v>4</v>
      </c>
      <c r="W67" s="36">
        <f t="shared" si="72"/>
        <v>4.5</v>
      </c>
      <c r="X67" s="36">
        <f t="shared" si="72"/>
        <v>5.6</v>
      </c>
      <c r="Y67" s="36" t="str">
        <f t="shared" si="72"/>
        <v/>
      </c>
      <c r="Z67" s="36" t="str">
        <f t="shared" si="72"/>
        <v/>
      </c>
      <c r="AA67" s="36" t="str">
        <f t="shared" si="72"/>
        <v/>
      </c>
      <c r="AB67" s="36" t="str">
        <f t="shared" si="72"/>
        <v/>
      </c>
      <c r="AC67" s="2"/>
    </row>
    <row r="68" spans="3:40" x14ac:dyDescent="0.25">
      <c r="D68" s="1"/>
      <c r="F68" s="1" t="s">
        <v>120</v>
      </c>
      <c r="H68" s="1" t="s">
        <v>120</v>
      </c>
      <c r="J68" s="1" t="s">
        <v>120</v>
      </c>
      <c r="K68" s="41"/>
      <c r="O68" s="1" t="s">
        <v>113</v>
      </c>
      <c r="S68" s="14"/>
      <c r="T68" s="36">
        <f t="shared" ref="T68:AB68" si="73">IF(ISNUMBER(T30),T$25,"")</f>
        <v>2.8</v>
      </c>
      <c r="U68" s="36">
        <f t="shared" si="73"/>
        <v>3.5</v>
      </c>
      <c r="V68" s="36">
        <f t="shared" si="73"/>
        <v>4</v>
      </c>
      <c r="W68" s="36">
        <f t="shared" si="73"/>
        <v>4.5</v>
      </c>
      <c r="X68" s="36">
        <f t="shared" si="73"/>
        <v>5.6</v>
      </c>
      <c r="Y68" s="36" t="str">
        <f t="shared" si="73"/>
        <v/>
      </c>
      <c r="Z68" s="36" t="str">
        <f t="shared" si="73"/>
        <v/>
      </c>
      <c r="AA68" s="36" t="str">
        <f t="shared" si="73"/>
        <v/>
      </c>
      <c r="AB68" s="36" t="str">
        <f t="shared" si="73"/>
        <v/>
      </c>
      <c r="AC68" s="2"/>
    </row>
    <row r="69" spans="3:40" x14ac:dyDescent="0.25">
      <c r="D69" s="1" t="s">
        <v>116</v>
      </c>
      <c r="L69" s="87"/>
      <c r="M69" s="1" t="s">
        <v>89</v>
      </c>
      <c r="O69" s="1" t="s">
        <v>114</v>
      </c>
      <c r="S69" s="14"/>
      <c r="T69" s="36">
        <f t="shared" ref="T69:AB69" si="74">IF(ISNUMBER(T31),T$25,"")</f>
        <v>2.8</v>
      </c>
      <c r="U69" s="36">
        <f t="shared" si="74"/>
        <v>3.5</v>
      </c>
      <c r="V69" s="36">
        <f t="shared" si="74"/>
        <v>4</v>
      </c>
      <c r="W69" s="36">
        <f t="shared" si="74"/>
        <v>4.5</v>
      </c>
      <c r="X69" s="36">
        <f t="shared" si="74"/>
        <v>5.6</v>
      </c>
      <c r="Y69" s="36" t="str">
        <f t="shared" si="74"/>
        <v/>
      </c>
      <c r="Z69" s="36" t="str">
        <f t="shared" si="74"/>
        <v/>
      </c>
      <c r="AA69" s="36" t="str">
        <f t="shared" si="74"/>
        <v/>
      </c>
      <c r="AB69" s="36" t="str">
        <f t="shared" si="74"/>
        <v/>
      </c>
      <c r="AC69" s="2"/>
    </row>
    <row r="70" spans="3:40" x14ac:dyDescent="0.25">
      <c r="D70" s="1" t="s">
        <v>117</v>
      </c>
      <c r="E70">
        <v>1</v>
      </c>
      <c r="F70" s="64">
        <f>E71</f>
        <v>1.4</v>
      </c>
      <c r="G70">
        <v>1</v>
      </c>
      <c r="H70" s="64">
        <f t="shared" ref="H70:H91" si="75">G71</f>
        <v>1.2</v>
      </c>
      <c r="I70">
        <v>1</v>
      </c>
      <c r="J70" s="64">
        <f t="shared" ref="J70:J100" si="76">I71</f>
        <v>1.1000000000000001</v>
      </c>
      <c r="L70" s="87"/>
      <c r="M70" s="1" t="s">
        <v>11</v>
      </c>
      <c r="N70" s="1" t="s">
        <v>147</v>
      </c>
      <c r="O70" s="1" t="s">
        <v>146</v>
      </c>
      <c r="S70" s="14"/>
      <c r="T70" s="36" t="str">
        <f t="shared" ref="T70:AB70" si="77">IF(ISNUMBER(T32),T$25,"")</f>
        <v/>
      </c>
      <c r="U70" s="36" t="str">
        <f t="shared" si="77"/>
        <v/>
      </c>
      <c r="V70" s="36" t="str">
        <f t="shared" si="77"/>
        <v/>
      </c>
      <c r="W70" s="36" t="str">
        <f t="shared" si="77"/>
        <v/>
      </c>
      <c r="X70" s="36" t="str">
        <f t="shared" si="77"/>
        <v/>
      </c>
      <c r="Y70" s="36" t="str">
        <f t="shared" si="77"/>
        <v/>
      </c>
      <c r="Z70" s="36" t="str">
        <f t="shared" si="77"/>
        <v/>
      </c>
      <c r="AA70" s="36" t="str">
        <f t="shared" si="77"/>
        <v/>
      </c>
      <c r="AB70" s="36" t="str">
        <f t="shared" si="77"/>
        <v/>
      </c>
      <c r="AC70" s="2"/>
    </row>
    <row r="71" spans="3:40" x14ac:dyDescent="0.25">
      <c r="D71" s="1" t="s">
        <v>118</v>
      </c>
      <c r="E71">
        <v>1.4</v>
      </c>
      <c r="F71" s="64">
        <f t="shared" ref="F71:F82" si="78">E72</f>
        <v>2</v>
      </c>
      <c r="G71">
        <v>1.2</v>
      </c>
      <c r="H71" s="64">
        <f t="shared" si="75"/>
        <v>1.4</v>
      </c>
      <c r="I71">
        <v>1.1000000000000001</v>
      </c>
      <c r="J71" s="64">
        <f t="shared" si="76"/>
        <v>1.2</v>
      </c>
      <c r="L71" s="87"/>
      <c r="M71">
        <v>0.1</v>
      </c>
      <c r="N71" s="64">
        <f t="shared" ref="N71:N80" si="79">M72</f>
        <v>0.16</v>
      </c>
      <c r="O71">
        <v>1</v>
      </c>
      <c r="S71" s="14"/>
      <c r="T71" s="36" t="str">
        <f t="shared" ref="T71:AB71" si="80">IF(ISNUMBER(T33),T$25,"")</f>
        <v/>
      </c>
      <c r="U71" s="36" t="str">
        <f t="shared" si="80"/>
        <v/>
      </c>
      <c r="V71" s="36" t="str">
        <f t="shared" si="80"/>
        <v/>
      </c>
      <c r="W71" s="36" t="str">
        <f t="shared" si="80"/>
        <v/>
      </c>
      <c r="X71" s="36" t="str">
        <f t="shared" si="80"/>
        <v/>
      </c>
      <c r="Y71" s="36" t="str">
        <f t="shared" si="80"/>
        <v/>
      </c>
      <c r="Z71" s="36" t="str">
        <f t="shared" si="80"/>
        <v/>
      </c>
      <c r="AA71" s="36" t="str">
        <f t="shared" si="80"/>
        <v/>
      </c>
      <c r="AB71" s="36" t="str">
        <f t="shared" si="80"/>
        <v/>
      </c>
      <c r="AC71" s="2"/>
    </row>
    <row r="72" spans="3:40" x14ac:dyDescent="0.25">
      <c r="D72" s="1" t="s">
        <v>119</v>
      </c>
      <c r="E72">
        <v>2</v>
      </c>
      <c r="F72" s="64">
        <f t="shared" si="78"/>
        <v>2.8</v>
      </c>
      <c r="G72" s="31">
        <v>1.4</v>
      </c>
      <c r="H72" s="64">
        <f t="shared" si="75"/>
        <v>1.8</v>
      </c>
      <c r="I72">
        <v>1.2</v>
      </c>
      <c r="J72" s="64">
        <f t="shared" si="76"/>
        <v>1.4</v>
      </c>
      <c r="L72" s="87"/>
      <c r="M72">
        <v>0.16</v>
      </c>
      <c r="N72" s="64">
        <f t="shared" si="79"/>
        <v>0.25</v>
      </c>
      <c r="O72">
        <v>1.06</v>
      </c>
      <c r="T72" s="36" t="str">
        <f t="shared" ref="T72:AB72" si="81">IF(ISNUMBER(T34),T$25,"")</f>
        <v/>
      </c>
      <c r="U72" s="36" t="str">
        <f t="shared" si="81"/>
        <v/>
      </c>
      <c r="V72" s="36" t="str">
        <f t="shared" si="81"/>
        <v/>
      </c>
      <c r="W72" s="36" t="str">
        <f t="shared" si="81"/>
        <v/>
      </c>
      <c r="X72" s="36" t="str">
        <f t="shared" si="81"/>
        <v/>
      </c>
      <c r="Y72" s="36" t="str">
        <f t="shared" si="81"/>
        <v/>
      </c>
      <c r="Z72" s="36" t="str">
        <f t="shared" si="81"/>
        <v/>
      </c>
      <c r="AA72" s="36" t="str">
        <f t="shared" si="81"/>
        <v/>
      </c>
      <c r="AB72" s="36" t="str">
        <f t="shared" si="81"/>
        <v/>
      </c>
    </row>
    <row r="73" spans="3:40" x14ac:dyDescent="0.25">
      <c r="E73">
        <v>2.8</v>
      </c>
      <c r="F73" s="64">
        <f t="shared" si="78"/>
        <v>4</v>
      </c>
      <c r="G73">
        <v>1.8</v>
      </c>
      <c r="H73" s="64">
        <f t="shared" si="75"/>
        <v>2</v>
      </c>
      <c r="I73">
        <v>1.4</v>
      </c>
      <c r="J73" s="64">
        <f t="shared" si="76"/>
        <v>1.6</v>
      </c>
      <c r="L73" s="87"/>
      <c r="M73">
        <v>0.25</v>
      </c>
      <c r="N73" s="64">
        <f t="shared" si="79"/>
        <v>0.4</v>
      </c>
      <c r="O73">
        <v>1.1200000000000001</v>
      </c>
      <c r="T73" s="36" t="str">
        <f t="shared" ref="T73:AB73" si="82">IF(ISNUMBER(T35),T$25,"")</f>
        <v/>
      </c>
      <c r="U73" s="36" t="str">
        <f t="shared" si="82"/>
        <v/>
      </c>
      <c r="V73" s="36" t="str">
        <f t="shared" si="82"/>
        <v/>
      </c>
      <c r="W73" s="36" t="str">
        <f t="shared" si="82"/>
        <v/>
      </c>
      <c r="X73" s="36" t="str">
        <f t="shared" si="82"/>
        <v/>
      </c>
      <c r="Y73" s="36" t="str">
        <f t="shared" si="82"/>
        <v/>
      </c>
      <c r="Z73" s="36" t="str">
        <f t="shared" si="82"/>
        <v/>
      </c>
      <c r="AA73" s="36" t="str">
        <f t="shared" si="82"/>
        <v/>
      </c>
      <c r="AB73" s="36" t="str">
        <f t="shared" si="82"/>
        <v/>
      </c>
    </row>
    <row r="74" spans="3:40" x14ac:dyDescent="0.25">
      <c r="E74">
        <v>4</v>
      </c>
      <c r="F74" s="64">
        <f t="shared" si="78"/>
        <v>5.6</v>
      </c>
      <c r="G74">
        <v>2</v>
      </c>
      <c r="H74" s="64">
        <f t="shared" si="75"/>
        <v>2.5</v>
      </c>
      <c r="I74">
        <v>1.6</v>
      </c>
      <c r="J74" s="64">
        <f t="shared" si="76"/>
        <v>1.8</v>
      </c>
      <c r="L74" s="87"/>
      <c r="M74">
        <v>0.4</v>
      </c>
      <c r="N74" s="64">
        <f t="shared" si="79"/>
        <v>0.63</v>
      </c>
      <c r="O74">
        <v>1.18</v>
      </c>
      <c r="T74" s="14"/>
      <c r="U74" s="14"/>
      <c r="V74" s="14"/>
      <c r="W74" s="14"/>
      <c r="X74" s="14"/>
      <c r="Y74" s="14"/>
      <c r="Z74" s="14"/>
      <c r="AA74" s="14"/>
      <c r="AB74" s="14"/>
      <c r="AC74" s="14"/>
      <c r="AD74" s="14"/>
      <c r="AE74" s="14"/>
      <c r="AF74" s="14"/>
      <c r="AG74" s="14"/>
      <c r="AH74" s="14"/>
      <c r="AI74" s="14"/>
      <c r="AJ74" s="14"/>
      <c r="AK74" s="14"/>
      <c r="AL74" s="14"/>
      <c r="AM74" s="14"/>
      <c r="AN74" s="14"/>
    </row>
    <row r="75" spans="3:40" x14ac:dyDescent="0.25">
      <c r="E75">
        <v>5.6</v>
      </c>
      <c r="F75" s="64">
        <f t="shared" si="78"/>
        <v>8</v>
      </c>
      <c r="G75">
        <v>2.5</v>
      </c>
      <c r="H75" s="64">
        <f t="shared" si="75"/>
        <v>2.8</v>
      </c>
      <c r="I75">
        <v>1.8</v>
      </c>
      <c r="J75" s="64">
        <f t="shared" si="76"/>
        <v>2</v>
      </c>
      <c r="L75" s="87"/>
      <c r="M75">
        <v>0.63</v>
      </c>
      <c r="N75" s="64">
        <f t="shared" si="79"/>
        <v>1</v>
      </c>
      <c r="O75">
        <v>1.25</v>
      </c>
      <c r="T75" s="36" t="str">
        <f t="shared" ref="T75:AB75" si="83">IF(ISNUMBER(T26),$S26,"")</f>
        <v/>
      </c>
      <c r="U75" s="36" t="str">
        <f t="shared" si="83"/>
        <v/>
      </c>
      <c r="V75" s="36" t="str">
        <f t="shared" si="83"/>
        <v/>
      </c>
      <c r="W75" s="36" t="str">
        <f t="shared" si="83"/>
        <v/>
      </c>
      <c r="X75" s="36" t="str">
        <f t="shared" si="83"/>
        <v/>
      </c>
      <c r="Y75" s="36" t="str">
        <f t="shared" si="83"/>
        <v/>
      </c>
      <c r="Z75" s="36" t="str">
        <f t="shared" si="83"/>
        <v/>
      </c>
      <c r="AA75" s="36" t="str">
        <f t="shared" si="83"/>
        <v/>
      </c>
      <c r="AB75" s="36" t="str">
        <f t="shared" si="83"/>
        <v/>
      </c>
      <c r="AC75" s="14"/>
      <c r="AD75" s="14"/>
      <c r="AE75" s="14"/>
      <c r="AF75" s="14"/>
      <c r="AG75" s="14"/>
      <c r="AH75" s="14"/>
      <c r="AI75" s="14"/>
      <c r="AJ75" s="14"/>
      <c r="AK75" s="14"/>
      <c r="AL75" s="14"/>
      <c r="AM75" s="14"/>
      <c r="AN75" s="14"/>
    </row>
    <row r="76" spans="3:40" x14ac:dyDescent="0.25">
      <c r="E76">
        <v>8</v>
      </c>
      <c r="F76" s="64">
        <f t="shared" si="78"/>
        <v>11</v>
      </c>
      <c r="G76">
        <v>2.8</v>
      </c>
      <c r="H76" s="64">
        <f t="shared" si="75"/>
        <v>3.5</v>
      </c>
      <c r="I76">
        <v>2</v>
      </c>
      <c r="J76" s="64">
        <f t="shared" si="76"/>
        <v>2.2000000000000002</v>
      </c>
      <c r="L76" s="87"/>
      <c r="M76">
        <v>1</v>
      </c>
      <c r="N76" s="64">
        <f t="shared" si="79"/>
        <v>1.6</v>
      </c>
      <c r="O76">
        <v>1.32</v>
      </c>
      <c r="R76" s="14">
        <f>MIN(T75:AB84)</f>
        <v>0.25</v>
      </c>
      <c r="T76" s="36">
        <f t="shared" ref="T76:AB76" si="84">IF(ISNUMBER(T27),$S27,"")</f>
        <v>0.25</v>
      </c>
      <c r="U76" s="36">
        <f t="shared" si="84"/>
        <v>0.25</v>
      </c>
      <c r="V76" s="36">
        <f t="shared" si="84"/>
        <v>0.25</v>
      </c>
      <c r="W76" s="36">
        <f t="shared" si="84"/>
        <v>0.25</v>
      </c>
      <c r="X76" s="36">
        <f t="shared" si="84"/>
        <v>0.25</v>
      </c>
      <c r="Y76" s="36" t="str">
        <f t="shared" si="84"/>
        <v/>
      </c>
      <c r="Z76" s="36" t="str">
        <f t="shared" si="84"/>
        <v/>
      </c>
      <c r="AA76" s="36" t="str">
        <f t="shared" si="84"/>
        <v/>
      </c>
      <c r="AB76" s="36" t="str">
        <f t="shared" si="84"/>
        <v/>
      </c>
      <c r="AC76" s="32"/>
      <c r="AD76" s="14"/>
      <c r="AE76" s="14"/>
      <c r="AF76" s="14"/>
      <c r="AG76" s="14"/>
      <c r="AH76" s="14"/>
      <c r="AI76" s="14"/>
      <c r="AJ76" s="14"/>
      <c r="AK76" s="14"/>
      <c r="AL76" s="14"/>
      <c r="AM76" s="14"/>
      <c r="AN76" s="14"/>
    </row>
    <row r="77" spans="3:40" x14ac:dyDescent="0.25">
      <c r="E77">
        <v>11</v>
      </c>
      <c r="F77" s="64">
        <f t="shared" si="78"/>
        <v>16</v>
      </c>
      <c r="G77">
        <v>3.5</v>
      </c>
      <c r="H77" s="64">
        <f t="shared" si="75"/>
        <v>4</v>
      </c>
      <c r="I77">
        <v>2.2000000000000002</v>
      </c>
      <c r="J77" s="64">
        <f t="shared" si="76"/>
        <v>2.5</v>
      </c>
      <c r="L77" s="87"/>
      <c r="M77">
        <v>1.6</v>
      </c>
      <c r="N77" s="64">
        <f t="shared" si="79"/>
        <v>2.5</v>
      </c>
      <c r="O77">
        <v>1.4</v>
      </c>
      <c r="R77" s="14">
        <f>MAX(T75:AB84)</f>
        <v>4</v>
      </c>
      <c r="T77" s="36">
        <f t="shared" ref="T77:AB77" si="85">IF(ISNUMBER(T28),$S28,"")</f>
        <v>0.5</v>
      </c>
      <c r="U77" s="36">
        <f t="shared" si="85"/>
        <v>0.5</v>
      </c>
      <c r="V77" s="36">
        <f t="shared" si="85"/>
        <v>0.5</v>
      </c>
      <c r="W77" s="36">
        <f t="shared" si="85"/>
        <v>0.5</v>
      </c>
      <c r="X77" s="36">
        <f t="shared" si="85"/>
        <v>0.5</v>
      </c>
      <c r="Y77" s="36" t="str">
        <f t="shared" si="85"/>
        <v/>
      </c>
      <c r="Z77" s="36" t="str">
        <f t="shared" si="85"/>
        <v/>
      </c>
      <c r="AA77" s="36" t="str">
        <f t="shared" si="85"/>
        <v/>
      </c>
      <c r="AB77" s="36" t="str">
        <f t="shared" si="85"/>
        <v/>
      </c>
      <c r="AC77" s="32"/>
      <c r="AD77" s="14"/>
      <c r="AE77" s="14"/>
      <c r="AF77" s="14"/>
      <c r="AG77" s="14"/>
      <c r="AH77" s="14"/>
      <c r="AI77" s="14"/>
      <c r="AJ77" s="14"/>
      <c r="AK77" s="14"/>
      <c r="AL77" s="14"/>
      <c r="AM77" s="14"/>
      <c r="AN77" s="14"/>
    </row>
    <row r="78" spans="3:40" x14ac:dyDescent="0.25">
      <c r="E78">
        <v>16</v>
      </c>
      <c r="F78" s="64">
        <f t="shared" si="78"/>
        <v>22</v>
      </c>
      <c r="G78">
        <v>4</v>
      </c>
      <c r="H78" s="64">
        <f t="shared" si="75"/>
        <v>4.5</v>
      </c>
      <c r="I78">
        <v>2.5</v>
      </c>
      <c r="J78" s="64">
        <f t="shared" si="76"/>
        <v>2.8</v>
      </c>
      <c r="L78" s="87"/>
      <c r="M78">
        <v>2.5</v>
      </c>
      <c r="N78" s="64">
        <f t="shared" si="79"/>
        <v>4</v>
      </c>
      <c r="O78">
        <v>1.5</v>
      </c>
      <c r="T78" s="36">
        <f t="shared" ref="T78:AB78" si="86">IF(ISNUMBER(T29),$S29,"")</f>
        <v>1</v>
      </c>
      <c r="U78" s="36">
        <f t="shared" si="86"/>
        <v>1</v>
      </c>
      <c r="V78" s="36">
        <f t="shared" si="86"/>
        <v>1</v>
      </c>
      <c r="W78" s="36">
        <f t="shared" si="86"/>
        <v>1</v>
      </c>
      <c r="X78" s="36">
        <f t="shared" si="86"/>
        <v>1</v>
      </c>
      <c r="Y78" s="36" t="str">
        <f t="shared" si="86"/>
        <v/>
      </c>
      <c r="Z78" s="36" t="str">
        <f t="shared" si="86"/>
        <v/>
      </c>
      <c r="AA78" s="36" t="str">
        <f t="shared" si="86"/>
        <v/>
      </c>
      <c r="AB78" s="36" t="str">
        <f t="shared" si="86"/>
        <v/>
      </c>
      <c r="AC78" s="14"/>
      <c r="AD78" s="14"/>
      <c r="AE78" s="14"/>
      <c r="AF78" s="14"/>
      <c r="AG78" s="14"/>
      <c r="AH78" s="14"/>
      <c r="AI78" s="14"/>
      <c r="AJ78" s="14"/>
      <c r="AK78" s="14"/>
      <c r="AL78" s="14"/>
      <c r="AM78" s="14"/>
      <c r="AN78" s="14"/>
    </row>
    <row r="79" spans="3:40" x14ac:dyDescent="0.25">
      <c r="E79">
        <v>22</v>
      </c>
      <c r="F79" s="64">
        <f t="shared" si="78"/>
        <v>32</v>
      </c>
      <c r="G79">
        <v>4.5</v>
      </c>
      <c r="H79" s="64">
        <f t="shared" si="75"/>
        <v>5.6</v>
      </c>
      <c r="I79">
        <v>2.8</v>
      </c>
      <c r="J79" s="64">
        <f t="shared" si="76"/>
        <v>3.2</v>
      </c>
      <c r="L79" s="87"/>
      <c r="M79">
        <v>4</v>
      </c>
      <c r="N79" s="64">
        <f t="shared" si="79"/>
        <v>6.3</v>
      </c>
      <c r="O79">
        <v>1.6</v>
      </c>
      <c r="T79" s="36">
        <f t="shared" ref="T79:AB79" si="87">IF(ISNUMBER(T30),$S30,"")</f>
        <v>2</v>
      </c>
      <c r="U79" s="36">
        <f t="shared" si="87"/>
        <v>2</v>
      </c>
      <c r="V79" s="36">
        <f t="shared" si="87"/>
        <v>2</v>
      </c>
      <c r="W79" s="36">
        <f t="shared" si="87"/>
        <v>2</v>
      </c>
      <c r="X79" s="36">
        <f t="shared" si="87"/>
        <v>2</v>
      </c>
      <c r="Y79" s="36" t="str">
        <f t="shared" si="87"/>
        <v/>
      </c>
      <c r="Z79" s="36" t="str">
        <f t="shared" si="87"/>
        <v/>
      </c>
      <c r="AA79" s="36" t="str">
        <f t="shared" si="87"/>
        <v/>
      </c>
      <c r="AB79" s="36" t="str">
        <f t="shared" si="87"/>
        <v/>
      </c>
      <c r="AC79" s="32"/>
      <c r="AD79" s="14"/>
      <c r="AE79" s="14"/>
      <c r="AF79" s="14"/>
      <c r="AG79" s="14"/>
      <c r="AH79" s="14"/>
      <c r="AI79" s="14"/>
      <c r="AJ79" s="14"/>
      <c r="AK79" s="14"/>
      <c r="AL79" s="14"/>
      <c r="AM79" s="14"/>
      <c r="AN79" s="14"/>
    </row>
    <row r="80" spans="3:40" x14ac:dyDescent="0.25">
      <c r="E80">
        <v>32</v>
      </c>
      <c r="F80" s="64">
        <f t="shared" si="78"/>
        <v>45</v>
      </c>
      <c r="G80">
        <v>5.6</v>
      </c>
      <c r="H80" s="64">
        <f t="shared" si="75"/>
        <v>6.7</v>
      </c>
      <c r="I80">
        <v>3.2</v>
      </c>
      <c r="J80" s="64">
        <f t="shared" si="76"/>
        <v>3.5</v>
      </c>
      <c r="L80" s="87"/>
      <c r="M80">
        <v>6.3</v>
      </c>
      <c r="N80" s="64">
        <f t="shared" si="79"/>
        <v>10</v>
      </c>
      <c r="O80">
        <v>1.7</v>
      </c>
      <c r="S80" s="2"/>
      <c r="T80" s="36">
        <f t="shared" ref="T80:AB80" si="88">IF(ISNUMBER(T31),$S31,"")</f>
        <v>4</v>
      </c>
      <c r="U80" s="36">
        <f t="shared" si="88"/>
        <v>4</v>
      </c>
      <c r="V80" s="36">
        <f t="shared" si="88"/>
        <v>4</v>
      </c>
      <c r="W80" s="36">
        <f t="shared" si="88"/>
        <v>4</v>
      </c>
      <c r="X80" s="36">
        <f t="shared" si="88"/>
        <v>4</v>
      </c>
      <c r="Y80" s="36" t="str">
        <f t="shared" si="88"/>
        <v/>
      </c>
      <c r="Z80" s="36" t="str">
        <f t="shared" si="88"/>
        <v/>
      </c>
      <c r="AA80" s="36" t="str">
        <f t="shared" si="88"/>
        <v/>
      </c>
      <c r="AB80" s="36" t="str">
        <f t="shared" si="88"/>
        <v/>
      </c>
      <c r="AC80" s="32"/>
      <c r="AD80" s="14"/>
      <c r="AE80" s="14"/>
      <c r="AF80" s="14"/>
      <c r="AG80" s="14"/>
      <c r="AH80" s="14"/>
      <c r="AI80" s="14"/>
      <c r="AJ80" s="14"/>
      <c r="AK80" s="14"/>
      <c r="AL80" s="14"/>
      <c r="AM80" s="14"/>
      <c r="AN80" s="14"/>
    </row>
    <row r="81" spans="5:40" x14ac:dyDescent="0.25">
      <c r="E81">
        <v>45</v>
      </c>
      <c r="F81" s="64">
        <f t="shared" si="78"/>
        <v>64</v>
      </c>
      <c r="G81">
        <v>6.7</v>
      </c>
      <c r="H81" s="64">
        <f t="shared" si="75"/>
        <v>8</v>
      </c>
      <c r="I81">
        <v>3.5</v>
      </c>
      <c r="J81" s="64">
        <f t="shared" si="76"/>
        <v>4</v>
      </c>
      <c r="L81" s="87"/>
      <c r="M81">
        <v>10</v>
      </c>
      <c r="N81" s="64">
        <v>16</v>
      </c>
      <c r="O81">
        <v>1.8</v>
      </c>
      <c r="T81" s="36" t="str">
        <f t="shared" ref="T81:AB81" si="89">IF(ISNUMBER(T32),$S32,"")</f>
        <v/>
      </c>
      <c r="U81" s="36" t="str">
        <f t="shared" si="89"/>
        <v/>
      </c>
      <c r="V81" s="36" t="str">
        <f t="shared" si="89"/>
        <v/>
      </c>
      <c r="W81" s="36" t="str">
        <f t="shared" si="89"/>
        <v/>
      </c>
      <c r="X81" s="36" t="str">
        <f t="shared" si="89"/>
        <v/>
      </c>
      <c r="Y81" s="36" t="str">
        <f t="shared" si="89"/>
        <v/>
      </c>
      <c r="Z81" s="36" t="str">
        <f t="shared" si="89"/>
        <v/>
      </c>
      <c r="AA81" s="36" t="str">
        <f t="shared" si="89"/>
        <v/>
      </c>
      <c r="AB81" s="36" t="str">
        <f t="shared" si="89"/>
        <v/>
      </c>
      <c r="AC81" s="14"/>
      <c r="AD81" s="14"/>
      <c r="AE81" s="14"/>
      <c r="AF81" s="14"/>
      <c r="AG81" s="14"/>
      <c r="AH81" s="14"/>
      <c r="AI81" s="14"/>
      <c r="AJ81" s="14"/>
      <c r="AK81" s="14"/>
      <c r="AL81" s="14"/>
      <c r="AM81" s="14"/>
      <c r="AN81" s="14"/>
    </row>
    <row r="82" spans="5:40" x14ac:dyDescent="0.25">
      <c r="E82">
        <v>64</v>
      </c>
      <c r="F82" s="64">
        <f t="shared" si="78"/>
        <v>90</v>
      </c>
      <c r="G82">
        <v>8</v>
      </c>
      <c r="H82" s="64">
        <f t="shared" si="75"/>
        <v>9.5</v>
      </c>
      <c r="I82">
        <v>4</v>
      </c>
      <c r="J82" s="64">
        <f t="shared" si="76"/>
        <v>4.5</v>
      </c>
      <c r="L82" s="87"/>
      <c r="O82">
        <v>1.9</v>
      </c>
      <c r="T82" s="36" t="str">
        <f t="shared" ref="T82:AB82" si="90">IF(ISNUMBER(T33),$S33,"")</f>
        <v/>
      </c>
      <c r="U82" s="36" t="str">
        <f t="shared" si="90"/>
        <v/>
      </c>
      <c r="V82" s="36" t="str">
        <f t="shared" si="90"/>
        <v/>
      </c>
      <c r="W82" s="36" t="str">
        <f t="shared" si="90"/>
        <v/>
      </c>
      <c r="X82" s="36" t="str">
        <f t="shared" si="90"/>
        <v/>
      </c>
      <c r="Y82" s="36" t="str">
        <f t="shared" si="90"/>
        <v/>
      </c>
      <c r="Z82" s="36" t="str">
        <f t="shared" si="90"/>
        <v/>
      </c>
      <c r="AA82" s="36" t="str">
        <f t="shared" si="90"/>
        <v/>
      </c>
      <c r="AB82" s="36" t="str">
        <f t="shared" si="90"/>
        <v/>
      </c>
      <c r="AC82" s="13"/>
    </row>
    <row r="83" spans="5:40" x14ac:dyDescent="0.25">
      <c r="E83">
        <v>90</v>
      </c>
      <c r="G83">
        <v>9.5</v>
      </c>
      <c r="H83" s="64">
        <f t="shared" si="75"/>
        <v>11</v>
      </c>
      <c r="I83">
        <v>4.5</v>
      </c>
      <c r="J83" s="64">
        <f t="shared" si="76"/>
        <v>5</v>
      </c>
      <c r="L83" s="87"/>
      <c r="M83" s="1" t="s">
        <v>221</v>
      </c>
      <c r="O83">
        <v>2</v>
      </c>
      <c r="T83" s="36" t="str">
        <f t="shared" ref="T83:AB83" si="91">IF(ISNUMBER(T34),$S34,"")</f>
        <v/>
      </c>
      <c r="U83" s="36" t="str">
        <f t="shared" si="91"/>
        <v/>
      </c>
      <c r="V83" s="36" t="str">
        <f t="shared" si="91"/>
        <v/>
      </c>
      <c r="W83" s="36" t="str">
        <f t="shared" si="91"/>
        <v/>
      </c>
      <c r="X83" s="36" t="str">
        <f t="shared" si="91"/>
        <v/>
      </c>
      <c r="Y83" s="36" t="str">
        <f t="shared" si="91"/>
        <v/>
      </c>
      <c r="Z83" s="36" t="str">
        <f t="shared" si="91"/>
        <v/>
      </c>
      <c r="AA83" s="36" t="str">
        <f t="shared" si="91"/>
        <v/>
      </c>
      <c r="AB83" s="36" t="str">
        <f t="shared" si="91"/>
        <v/>
      </c>
    </row>
    <row r="84" spans="5:40" x14ac:dyDescent="0.25">
      <c r="G84">
        <v>11</v>
      </c>
      <c r="H84" s="64">
        <f t="shared" si="75"/>
        <v>13</v>
      </c>
      <c r="I84">
        <v>5</v>
      </c>
      <c r="J84" s="64">
        <f t="shared" si="76"/>
        <v>5.6</v>
      </c>
      <c r="L84" s="87"/>
      <c r="M84" s="88">
        <f>VLOOKUP(($D$28*F13/I8)^(1/8),O71:O95,1)</f>
        <v>2</v>
      </c>
      <c r="O84">
        <v>2.12</v>
      </c>
      <c r="T84" s="36" t="str">
        <f t="shared" ref="T84:AB84" si="92">IF(ISNUMBER(T35),$S35,"")</f>
        <v/>
      </c>
      <c r="U84" s="36" t="str">
        <f t="shared" si="92"/>
        <v/>
      </c>
      <c r="V84" s="36" t="str">
        <f t="shared" si="92"/>
        <v/>
      </c>
      <c r="W84" s="36" t="str">
        <f t="shared" si="92"/>
        <v/>
      </c>
      <c r="X84" s="36" t="str">
        <f t="shared" si="92"/>
        <v/>
      </c>
      <c r="Y84" s="36" t="str">
        <f t="shared" si="92"/>
        <v/>
      </c>
      <c r="Z84" s="36" t="str">
        <f t="shared" si="92"/>
        <v/>
      </c>
      <c r="AA84" s="36" t="str">
        <f t="shared" si="92"/>
        <v/>
      </c>
      <c r="AB84" s="36" t="str">
        <f t="shared" si="92"/>
        <v/>
      </c>
    </row>
    <row r="85" spans="5:40" x14ac:dyDescent="0.25">
      <c r="G85">
        <v>13</v>
      </c>
      <c r="H85" s="64">
        <f t="shared" si="75"/>
        <v>16</v>
      </c>
      <c r="I85">
        <v>5.6</v>
      </c>
      <c r="J85" s="64">
        <f t="shared" si="76"/>
        <v>6.3</v>
      </c>
      <c r="L85" s="87"/>
      <c r="O85">
        <v>2.2400000000000002</v>
      </c>
    </row>
    <row r="86" spans="5:40" x14ac:dyDescent="0.25">
      <c r="G86">
        <v>16</v>
      </c>
      <c r="H86" s="64">
        <f t="shared" si="75"/>
        <v>19</v>
      </c>
      <c r="I86">
        <v>6.3</v>
      </c>
      <c r="J86" s="64">
        <f t="shared" si="76"/>
        <v>7.1</v>
      </c>
      <c r="L86" s="87"/>
      <c r="M86" s="96" t="s">
        <v>220</v>
      </c>
      <c r="O86">
        <v>2.36</v>
      </c>
    </row>
    <row r="87" spans="5:40" x14ac:dyDescent="0.25">
      <c r="G87">
        <v>19</v>
      </c>
      <c r="H87" s="64">
        <f t="shared" si="75"/>
        <v>22</v>
      </c>
      <c r="I87">
        <v>7.1</v>
      </c>
      <c r="J87" s="64">
        <f t="shared" si="76"/>
        <v>8</v>
      </c>
      <c r="L87" s="87"/>
      <c r="M87" s="84">
        <f>I8</f>
        <v>0.2</v>
      </c>
      <c r="O87">
        <v>2.5</v>
      </c>
    </row>
    <row r="88" spans="5:40" x14ac:dyDescent="0.25">
      <c r="G88">
        <v>22</v>
      </c>
      <c r="H88" s="64">
        <f t="shared" si="75"/>
        <v>27</v>
      </c>
      <c r="I88">
        <v>8</v>
      </c>
      <c r="J88" s="64">
        <f t="shared" si="76"/>
        <v>9</v>
      </c>
      <c r="L88" s="87"/>
      <c r="M88" s="84">
        <f>VLOOKUP(M87,M70:N80,2)</f>
        <v>0.25</v>
      </c>
      <c r="O88">
        <v>2.65</v>
      </c>
    </row>
    <row r="89" spans="5:40" x14ac:dyDescent="0.25">
      <c r="G89">
        <v>27</v>
      </c>
      <c r="H89" s="64">
        <f t="shared" si="75"/>
        <v>32</v>
      </c>
      <c r="I89">
        <v>9</v>
      </c>
      <c r="J89" s="64">
        <f t="shared" si="76"/>
        <v>10</v>
      </c>
      <c r="L89" s="87"/>
      <c r="M89" s="84">
        <f>VLOOKUP(ROUND(M88*$M$84,1+INT(LOG(1.69)-LOG(E23*$M$84))),$G$126:$H$195,2)</f>
        <v>0.5</v>
      </c>
      <c r="O89">
        <v>2.8</v>
      </c>
      <c r="S89" s="129" t="s">
        <v>125</v>
      </c>
      <c r="T89" s="129"/>
      <c r="U89" s="129"/>
      <c r="V89" s="129"/>
      <c r="W89" s="129"/>
      <c r="X89" s="129"/>
      <c r="Y89" s="129"/>
    </row>
    <row r="90" spans="5:40" x14ac:dyDescent="0.25">
      <c r="G90">
        <v>32</v>
      </c>
      <c r="H90" s="64">
        <f t="shared" si="75"/>
        <v>38</v>
      </c>
      <c r="I90">
        <v>10</v>
      </c>
      <c r="J90" s="64">
        <f t="shared" si="76"/>
        <v>11</v>
      </c>
      <c r="L90" s="87"/>
      <c r="M90" s="84">
        <f t="shared" ref="M90:M96" si="93">VLOOKUP(ROUND(M89*$M$84,1+INT(LOG(1.69)-LOG(E24*$M$84))),$G$126:$H$195,2)</f>
        <v>1</v>
      </c>
      <c r="O90">
        <v>3</v>
      </c>
      <c r="S90" s="124" t="s">
        <v>110</v>
      </c>
      <c r="T90" s="124"/>
      <c r="U90" s="124"/>
      <c r="W90" s="124" t="s">
        <v>252</v>
      </c>
      <c r="X90" s="124"/>
      <c r="Y90" s="124"/>
      <c r="AC90" s="13"/>
    </row>
    <row r="91" spans="5:40" x14ac:dyDescent="0.25">
      <c r="G91">
        <v>38</v>
      </c>
      <c r="H91" s="64">
        <f t="shared" si="75"/>
        <v>45</v>
      </c>
      <c r="I91">
        <v>11</v>
      </c>
      <c r="J91" s="64">
        <f t="shared" si="76"/>
        <v>13</v>
      </c>
      <c r="L91" s="87"/>
      <c r="M91" s="84">
        <f t="shared" si="93"/>
        <v>2</v>
      </c>
      <c r="O91">
        <v>3.15</v>
      </c>
      <c r="R91" s="1" t="s">
        <v>111</v>
      </c>
      <c r="S91" s="57">
        <v>1</v>
      </c>
      <c r="T91" s="79" t="s">
        <v>108</v>
      </c>
      <c r="U91" s="79" t="s">
        <v>109</v>
      </c>
      <c r="V91" s="57"/>
      <c r="W91" s="57">
        <v>1</v>
      </c>
      <c r="X91" s="79" t="s">
        <v>108</v>
      </c>
      <c r="Y91" s="79" t="s">
        <v>109</v>
      </c>
    </row>
    <row r="92" spans="5:40" x14ac:dyDescent="0.25">
      <c r="G92">
        <v>45</v>
      </c>
      <c r="I92">
        <v>13</v>
      </c>
      <c r="J92" s="64">
        <f t="shared" si="76"/>
        <v>14</v>
      </c>
      <c r="L92" s="87"/>
      <c r="M92" s="84">
        <f t="shared" si="93"/>
        <v>4</v>
      </c>
      <c r="O92">
        <v>3.35</v>
      </c>
      <c r="S92" s="57" t="s">
        <v>9</v>
      </c>
      <c r="T92" s="57" t="s">
        <v>9</v>
      </c>
      <c r="U92" s="57" t="s">
        <v>9</v>
      </c>
      <c r="V92" s="57"/>
      <c r="W92" s="57" t="s">
        <v>9</v>
      </c>
      <c r="X92" s="57" t="s">
        <v>9</v>
      </c>
      <c r="Y92" s="57" t="s">
        <v>9</v>
      </c>
    </row>
    <row r="93" spans="5:40" x14ac:dyDescent="0.25">
      <c r="I93">
        <v>14</v>
      </c>
      <c r="J93" s="64">
        <f t="shared" si="76"/>
        <v>16</v>
      </c>
      <c r="L93" s="87"/>
      <c r="M93" s="84">
        <f t="shared" si="93"/>
        <v>8</v>
      </c>
      <c r="O93">
        <v>3.55</v>
      </c>
    </row>
    <row r="94" spans="5:40" x14ac:dyDescent="0.25">
      <c r="I94">
        <v>16</v>
      </c>
      <c r="J94" s="64">
        <f t="shared" si="76"/>
        <v>18</v>
      </c>
      <c r="L94" s="87"/>
      <c r="M94" s="84">
        <f t="shared" si="93"/>
        <v>15</v>
      </c>
      <c r="O94">
        <v>3.75</v>
      </c>
      <c r="S94" s="57">
        <v>1</v>
      </c>
      <c r="T94" s="57">
        <v>1</v>
      </c>
      <c r="U94" s="57">
        <v>1</v>
      </c>
      <c r="V94" s="57"/>
      <c r="W94" s="57">
        <v>1</v>
      </c>
      <c r="X94" s="57">
        <v>1</v>
      </c>
      <c r="Y94" s="57">
        <v>1</v>
      </c>
    </row>
    <row r="95" spans="5:40" x14ac:dyDescent="0.25">
      <c r="I95">
        <v>18</v>
      </c>
      <c r="J95" s="64">
        <f t="shared" si="76"/>
        <v>20</v>
      </c>
      <c r="L95" s="87"/>
      <c r="M95" s="84">
        <f t="shared" si="93"/>
        <v>30</v>
      </c>
      <c r="O95">
        <v>4</v>
      </c>
      <c r="U95" s="57">
        <v>1.1000000000000001</v>
      </c>
      <c r="V95" s="57"/>
      <c r="W95" s="57"/>
      <c r="X95" s="57"/>
      <c r="Y95" s="57">
        <v>1.1000000000000001</v>
      </c>
    </row>
    <row r="96" spans="5:40" x14ac:dyDescent="0.25">
      <c r="I96">
        <v>20</v>
      </c>
      <c r="J96" s="64">
        <f t="shared" si="76"/>
        <v>22</v>
      </c>
      <c r="L96" s="87"/>
      <c r="M96" s="84">
        <f t="shared" si="93"/>
        <v>60</v>
      </c>
      <c r="S96" s="57"/>
      <c r="T96" s="57">
        <v>1.2</v>
      </c>
      <c r="U96" s="57">
        <v>1.2</v>
      </c>
      <c r="V96" s="57"/>
      <c r="W96" s="57"/>
      <c r="X96" s="57">
        <v>1.2</v>
      </c>
      <c r="Y96" s="57">
        <v>1.2</v>
      </c>
    </row>
    <row r="97" spans="3:25" x14ac:dyDescent="0.25">
      <c r="D97" s="15" t="s">
        <v>165</v>
      </c>
      <c r="I97">
        <v>22</v>
      </c>
      <c r="J97" s="64">
        <f t="shared" si="76"/>
        <v>25</v>
      </c>
      <c r="L97" s="87"/>
      <c r="O97" s="8"/>
      <c r="S97" s="57">
        <v>1.4</v>
      </c>
      <c r="T97" s="57">
        <v>1.4</v>
      </c>
      <c r="U97" s="57">
        <v>1.4</v>
      </c>
      <c r="V97" s="57"/>
      <c r="W97" s="57">
        <v>1.4</v>
      </c>
      <c r="X97" s="57">
        <v>1.4</v>
      </c>
      <c r="Y97" s="57">
        <v>1.4</v>
      </c>
    </row>
    <row r="98" spans="3:25" x14ac:dyDescent="0.25">
      <c r="D98" t="s">
        <v>148</v>
      </c>
      <c r="G98" s="129" t="s">
        <v>159</v>
      </c>
      <c r="H98" s="129"/>
      <c r="I98">
        <v>25</v>
      </c>
      <c r="J98" s="64">
        <f t="shared" si="76"/>
        <v>29</v>
      </c>
      <c r="L98" s="87"/>
      <c r="S98" s="57"/>
      <c r="T98" s="57"/>
      <c r="U98" s="57">
        <v>1.6</v>
      </c>
      <c r="V98" s="57"/>
      <c r="W98" s="57"/>
      <c r="X98" s="57"/>
      <c r="Y98" s="57">
        <v>1.6</v>
      </c>
    </row>
    <row r="99" spans="3:25" x14ac:dyDescent="0.25">
      <c r="D99" s="122"/>
      <c r="E99" s="122"/>
      <c r="F99" s="122"/>
      <c r="G99" s="124" t="s">
        <v>253</v>
      </c>
      <c r="H99" s="124"/>
      <c r="I99">
        <v>29</v>
      </c>
      <c r="J99" s="64">
        <f t="shared" si="76"/>
        <v>32</v>
      </c>
      <c r="L99" s="87"/>
      <c r="S99" s="57"/>
      <c r="T99" s="57">
        <v>1.8</v>
      </c>
      <c r="U99" s="57">
        <v>1.8</v>
      </c>
      <c r="V99" s="57"/>
      <c r="W99" s="57"/>
      <c r="X99" s="82">
        <v>1.7</v>
      </c>
      <c r="Y99" s="57">
        <v>1.8</v>
      </c>
    </row>
    <row r="100" spans="3:25" x14ac:dyDescent="0.25">
      <c r="C100">
        <v>1</v>
      </c>
      <c r="D100" t="s">
        <v>154</v>
      </c>
      <c r="F100" t="s">
        <v>149</v>
      </c>
      <c r="G100" s="141">
        <v>1.0999999999999999E-2</v>
      </c>
      <c r="H100" s="141"/>
      <c r="I100">
        <v>32</v>
      </c>
      <c r="J100" s="64">
        <f t="shared" si="76"/>
        <v>36</v>
      </c>
      <c r="L100" s="87"/>
      <c r="P100" s="46"/>
      <c r="S100" s="57">
        <v>2</v>
      </c>
      <c r="T100" s="57">
        <v>2</v>
      </c>
      <c r="U100" s="57">
        <v>2</v>
      </c>
      <c r="V100" s="57"/>
      <c r="W100" s="57">
        <v>2</v>
      </c>
      <c r="X100" s="57">
        <v>2</v>
      </c>
      <c r="Y100" s="57">
        <v>2</v>
      </c>
    </row>
    <row r="101" spans="3:25" x14ac:dyDescent="0.25">
      <c r="C101">
        <v>2</v>
      </c>
      <c r="D101" t="s">
        <v>232</v>
      </c>
      <c r="F101" t="s">
        <v>233</v>
      </c>
      <c r="G101" s="141">
        <v>1.4999999999999999E-2</v>
      </c>
      <c r="H101" s="141"/>
      <c r="I101">
        <v>36</v>
      </c>
      <c r="L101" s="87"/>
      <c r="S101" s="57"/>
      <c r="T101" s="57"/>
      <c r="U101" s="57">
        <v>2.2000000000000002</v>
      </c>
      <c r="V101" s="57"/>
      <c r="W101" s="57"/>
      <c r="X101" s="57"/>
      <c r="Y101" s="57">
        <v>2.2000000000000002</v>
      </c>
    </row>
    <row r="102" spans="3:25" x14ac:dyDescent="0.25">
      <c r="C102">
        <v>3</v>
      </c>
      <c r="D102" t="s">
        <v>153</v>
      </c>
      <c r="F102" t="s">
        <v>234</v>
      </c>
      <c r="G102" s="141">
        <v>1.7999999999999999E-2</v>
      </c>
      <c r="H102" s="141"/>
      <c r="S102" s="57"/>
      <c r="T102" s="57">
        <v>2.5</v>
      </c>
      <c r="U102" s="57">
        <v>2.5</v>
      </c>
      <c r="V102" s="57"/>
      <c r="W102" s="57"/>
      <c r="X102" s="82">
        <v>2.4</v>
      </c>
      <c r="Y102" s="57">
        <v>2.5</v>
      </c>
    </row>
    <row r="103" spans="3:25" x14ac:dyDescent="0.25">
      <c r="C103">
        <v>4</v>
      </c>
      <c r="D103" t="s">
        <v>181</v>
      </c>
      <c r="F103" t="s">
        <v>235</v>
      </c>
      <c r="G103" s="141">
        <v>1.9E-2</v>
      </c>
      <c r="H103" s="141"/>
      <c r="S103" s="57">
        <v>2.8</v>
      </c>
      <c r="T103" s="57">
        <v>2.8</v>
      </c>
      <c r="U103" s="57">
        <v>2.8</v>
      </c>
      <c r="V103" s="57"/>
      <c r="W103" s="57">
        <v>2.8</v>
      </c>
      <c r="X103" s="57">
        <v>2.8</v>
      </c>
      <c r="Y103" s="57">
        <v>2.8</v>
      </c>
    </row>
    <row r="104" spans="3:25" x14ac:dyDescent="0.25">
      <c r="C104">
        <v>5</v>
      </c>
      <c r="D104" t="s">
        <v>156</v>
      </c>
      <c r="F104" t="s">
        <v>150</v>
      </c>
      <c r="G104" s="141">
        <v>2.9000000000000001E-2</v>
      </c>
      <c r="H104" s="141"/>
      <c r="S104" s="57"/>
      <c r="T104" s="57"/>
      <c r="U104" s="57">
        <v>3.2</v>
      </c>
      <c r="V104" s="57"/>
      <c r="W104" s="57"/>
      <c r="X104" s="82">
        <v>3.3</v>
      </c>
      <c r="Y104" s="57">
        <v>3.2</v>
      </c>
    </row>
    <row r="105" spans="3:25" x14ac:dyDescent="0.25">
      <c r="C105">
        <v>6</v>
      </c>
      <c r="D105" t="s">
        <v>182</v>
      </c>
      <c r="F105" t="s">
        <v>151</v>
      </c>
      <c r="G105" s="141">
        <v>4.7E-2</v>
      </c>
      <c r="H105" s="141"/>
      <c r="S105" s="57"/>
      <c r="T105" s="57">
        <v>3.5</v>
      </c>
      <c r="U105" s="57">
        <v>3.5</v>
      </c>
      <c r="V105" s="57"/>
      <c r="W105" s="57"/>
      <c r="X105" s="57"/>
      <c r="Y105" s="57">
        <v>3.5</v>
      </c>
    </row>
    <row r="106" spans="3:25" x14ac:dyDescent="0.25">
      <c r="C106">
        <v>7</v>
      </c>
      <c r="D106" t="s">
        <v>155</v>
      </c>
      <c r="F106" t="s">
        <v>152</v>
      </c>
      <c r="G106" s="142">
        <v>1.677E-2</v>
      </c>
      <c r="H106" s="142"/>
      <c r="S106" s="57">
        <v>4</v>
      </c>
      <c r="T106" s="57">
        <v>4</v>
      </c>
      <c r="U106" s="57">
        <v>4</v>
      </c>
      <c r="V106" s="57"/>
      <c r="W106" s="57">
        <v>4</v>
      </c>
      <c r="X106" s="57">
        <v>4</v>
      </c>
      <c r="Y106" s="57">
        <v>4</v>
      </c>
    </row>
    <row r="107" spans="3:25" x14ac:dyDescent="0.25">
      <c r="S107" s="57"/>
      <c r="T107" s="57">
        <v>4.5</v>
      </c>
      <c r="U107" s="57">
        <v>4.5</v>
      </c>
      <c r="V107" s="57"/>
      <c r="W107" s="57"/>
      <c r="X107" s="57"/>
      <c r="Y107" s="57">
        <v>4.5</v>
      </c>
    </row>
    <row r="108" spans="3:25" x14ac:dyDescent="0.25">
      <c r="E108" t="s">
        <v>157</v>
      </c>
      <c r="G108" s="143">
        <f>VLOOKUP(E10,C100:H106,5)</f>
        <v>1.4999999999999999E-2</v>
      </c>
      <c r="H108" s="143"/>
      <c r="S108" s="57"/>
      <c r="T108" s="57"/>
      <c r="U108" s="57">
        <v>5</v>
      </c>
      <c r="V108" s="57"/>
      <c r="W108" s="57"/>
      <c r="X108" s="82">
        <v>4.8</v>
      </c>
      <c r="Y108" s="57">
        <v>5</v>
      </c>
    </row>
    <row r="109" spans="3:25" x14ac:dyDescent="0.25">
      <c r="S109" s="57">
        <v>5.6</v>
      </c>
      <c r="T109" s="57">
        <v>5.6</v>
      </c>
      <c r="U109" s="57">
        <v>5.6</v>
      </c>
      <c r="V109" s="57"/>
      <c r="W109" s="57">
        <v>5.6</v>
      </c>
      <c r="X109" s="57">
        <v>5.6</v>
      </c>
      <c r="Y109" s="57">
        <v>5.6</v>
      </c>
    </row>
    <row r="110" spans="3:25" x14ac:dyDescent="0.25">
      <c r="C110" s="15" t="s">
        <v>99</v>
      </c>
      <c r="S110" s="57"/>
      <c r="T110" s="82">
        <v>6.7</v>
      </c>
      <c r="U110" s="57">
        <v>6.3</v>
      </c>
      <c r="V110" s="57"/>
      <c r="W110" s="57"/>
      <c r="X110" s="82">
        <v>6.7</v>
      </c>
      <c r="Y110" s="57">
        <v>6.3</v>
      </c>
    </row>
    <row r="111" spans="3:25" x14ac:dyDescent="0.25">
      <c r="G111" s="1" t="s">
        <v>43</v>
      </c>
      <c r="H111" s="1" t="s">
        <v>41</v>
      </c>
      <c r="I111" s="117" t="s">
        <v>244</v>
      </c>
      <c r="J111" s="53"/>
      <c r="S111" s="57"/>
      <c r="T111" s="57"/>
      <c r="U111" s="57">
        <v>7.1</v>
      </c>
      <c r="V111" s="57"/>
      <c r="W111" s="57"/>
      <c r="X111" s="57"/>
      <c r="Y111" s="57">
        <v>7.1</v>
      </c>
    </row>
    <row r="112" spans="3:25" x14ac:dyDescent="0.25">
      <c r="G112" s="1" t="s">
        <v>42</v>
      </c>
      <c r="H112" s="1" t="s">
        <v>245</v>
      </c>
      <c r="I112" s="1" t="s">
        <v>46</v>
      </c>
      <c r="J112" s="53"/>
      <c r="S112" s="57">
        <v>8</v>
      </c>
      <c r="T112" s="57">
        <v>8</v>
      </c>
      <c r="U112" s="57">
        <v>8</v>
      </c>
      <c r="V112" s="57"/>
      <c r="W112" s="57">
        <v>8</v>
      </c>
      <c r="X112" s="57">
        <v>8</v>
      </c>
      <c r="Y112" s="57">
        <v>8</v>
      </c>
    </row>
    <row r="113" spans="3:28" x14ac:dyDescent="0.25">
      <c r="H113" s="1"/>
      <c r="I113" s="9" t="s">
        <v>246</v>
      </c>
      <c r="N113" s="1" t="s">
        <v>100</v>
      </c>
      <c r="S113" s="57"/>
      <c r="T113" s="82">
        <v>9.5</v>
      </c>
      <c r="U113" s="57">
        <v>9</v>
      </c>
      <c r="V113" s="57"/>
      <c r="W113" s="57"/>
      <c r="X113" s="82">
        <v>9.5</v>
      </c>
      <c r="Y113" s="57">
        <v>9</v>
      </c>
    </row>
    <row r="114" spans="3:28" x14ac:dyDescent="0.25">
      <c r="C114" s="1" t="s">
        <v>243</v>
      </c>
      <c r="E114" t="s">
        <v>103</v>
      </c>
      <c r="J114" s="53"/>
      <c r="S114" s="57"/>
      <c r="T114" s="57"/>
      <c r="U114" s="57">
        <v>10</v>
      </c>
      <c r="V114" s="57"/>
      <c r="W114" s="57"/>
      <c r="X114" s="57"/>
      <c r="Y114" s="57">
        <v>10</v>
      </c>
    </row>
    <row r="115" spans="3:28" x14ac:dyDescent="0.25">
      <c r="C115" s="1" t="s">
        <v>102</v>
      </c>
      <c r="E115">
        <v>-3</v>
      </c>
      <c r="G115" s="70">
        <f t="shared" ref="G115:G146" si="94">H115-I114+10^(E115-1)</f>
        <v>1.1000000000000001E-3</v>
      </c>
      <c r="H115" s="71">
        <f>$N$115*10^E115</f>
        <v>1E-3</v>
      </c>
      <c r="I115" s="64">
        <f>(H116-H115)*0.685</f>
        <v>1.3699999999999991E-4</v>
      </c>
      <c r="J115" s="53"/>
      <c r="N115">
        <v>1</v>
      </c>
      <c r="S115" s="57">
        <v>11</v>
      </c>
      <c r="T115" s="57">
        <v>11</v>
      </c>
      <c r="U115" s="57">
        <v>11</v>
      </c>
      <c r="V115" s="57"/>
      <c r="W115" s="57">
        <v>11</v>
      </c>
      <c r="X115" s="57">
        <v>11</v>
      </c>
      <c r="Y115" s="57">
        <v>11</v>
      </c>
    </row>
    <row r="116" spans="3:28" x14ac:dyDescent="0.25">
      <c r="C116" s="1" t="s">
        <v>47</v>
      </c>
      <c r="E116">
        <v>-3</v>
      </c>
      <c r="G116" s="72">
        <f t="shared" si="94"/>
        <v>1.163E-3</v>
      </c>
      <c r="H116" s="73">
        <f>$N$116*10^E116</f>
        <v>1.1999999999999999E-3</v>
      </c>
      <c r="I116" s="64">
        <f t="shared" ref="I116:I179" si="95">(H117-H116)*0.685</f>
        <v>2.0550000000000012E-4</v>
      </c>
      <c r="J116" s="53"/>
      <c r="N116">
        <v>1.2</v>
      </c>
      <c r="S116" s="57"/>
      <c r="T116" s="57">
        <v>13</v>
      </c>
      <c r="U116" s="57">
        <v>13</v>
      </c>
      <c r="V116" s="57"/>
      <c r="W116" s="57"/>
      <c r="X116" s="57">
        <v>13</v>
      </c>
      <c r="Y116" s="57">
        <v>13</v>
      </c>
    </row>
    <row r="117" spans="3:28" x14ac:dyDescent="0.25">
      <c r="C117" s="1" t="s">
        <v>45</v>
      </c>
      <c r="E117">
        <v>-3</v>
      </c>
      <c r="G117" s="72">
        <f t="shared" si="94"/>
        <v>1.3944999999999999E-3</v>
      </c>
      <c r="H117" s="73">
        <f>$N$117*10^E117</f>
        <v>1.5E-3</v>
      </c>
      <c r="I117" s="64">
        <f t="shared" si="95"/>
        <v>3.4250000000000003E-4</v>
      </c>
      <c r="J117" s="53"/>
      <c r="N117">
        <v>1.5</v>
      </c>
      <c r="S117" s="57"/>
      <c r="T117" s="57"/>
      <c r="U117" s="57">
        <v>14</v>
      </c>
      <c r="V117" s="57"/>
      <c r="W117" s="57"/>
      <c r="X117" s="57"/>
      <c r="Y117" s="57">
        <v>14</v>
      </c>
    </row>
    <row r="118" spans="3:28" x14ac:dyDescent="0.25">
      <c r="E118">
        <v>-3</v>
      </c>
      <c r="G118" s="72">
        <f t="shared" si="94"/>
        <v>1.7575000000000002E-3</v>
      </c>
      <c r="H118" s="73">
        <f>$N$118*10^E118</f>
        <v>2E-3</v>
      </c>
      <c r="I118" s="64">
        <f t="shared" si="95"/>
        <v>3.4250000000000003E-4</v>
      </c>
      <c r="J118" s="53"/>
      <c r="N118">
        <v>2</v>
      </c>
      <c r="S118" s="57">
        <v>16</v>
      </c>
      <c r="T118" s="57">
        <v>16</v>
      </c>
      <c r="U118" s="57">
        <v>16</v>
      </c>
      <c r="V118" s="57"/>
      <c r="W118" s="57">
        <v>16</v>
      </c>
      <c r="X118" s="57">
        <v>16</v>
      </c>
      <c r="Y118" s="57">
        <v>16</v>
      </c>
    </row>
    <row r="119" spans="3:28" x14ac:dyDescent="0.25">
      <c r="E119">
        <v>-3</v>
      </c>
      <c r="G119" s="72">
        <f t="shared" si="94"/>
        <v>2.2575E-3</v>
      </c>
      <c r="H119" s="73">
        <f>$N$119*10^E119</f>
        <v>2.5000000000000001E-3</v>
      </c>
      <c r="I119" s="64">
        <f t="shared" si="95"/>
        <v>3.4250000000000003E-4</v>
      </c>
      <c r="J119" s="53"/>
      <c r="N119">
        <v>2.5</v>
      </c>
      <c r="S119" s="57"/>
      <c r="T119" s="82">
        <v>19</v>
      </c>
      <c r="U119" s="57">
        <v>18</v>
      </c>
      <c r="V119" s="57"/>
      <c r="W119" s="57"/>
      <c r="X119" s="82">
        <v>19</v>
      </c>
      <c r="Y119" s="57">
        <v>18</v>
      </c>
    </row>
    <row r="120" spans="3:28" x14ac:dyDescent="0.25">
      <c r="E120">
        <v>-3</v>
      </c>
      <c r="G120" s="72">
        <f t="shared" si="94"/>
        <v>2.7575E-3</v>
      </c>
      <c r="H120" s="73">
        <f>$N$120*10^E120</f>
        <v>3.0000000000000001E-3</v>
      </c>
      <c r="I120" s="64">
        <f t="shared" si="95"/>
        <v>6.8500000000000006E-4</v>
      </c>
      <c r="J120" s="53"/>
      <c r="M120" s="118"/>
      <c r="N120">
        <v>3</v>
      </c>
      <c r="S120" s="57"/>
      <c r="T120" s="57"/>
      <c r="U120" s="57">
        <v>20</v>
      </c>
      <c r="V120" s="57"/>
      <c r="W120" s="57"/>
      <c r="X120" s="57"/>
      <c r="Y120" s="57">
        <v>20</v>
      </c>
    </row>
    <row r="121" spans="3:28" x14ac:dyDescent="0.25">
      <c r="E121">
        <v>-3</v>
      </c>
      <c r="G121" s="72">
        <f t="shared" si="94"/>
        <v>3.4150000000000001E-3</v>
      </c>
      <c r="H121" s="73">
        <f>$N$121*10^E121</f>
        <v>4.0000000000000001E-3</v>
      </c>
      <c r="I121" s="64">
        <f t="shared" si="95"/>
        <v>6.8500000000000006E-4</v>
      </c>
      <c r="J121" s="53"/>
      <c r="N121">
        <v>4</v>
      </c>
      <c r="S121" s="57">
        <v>22</v>
      </c>
      <c r="T121" s="57">
        <v>22</v>
      </c>
      <c r="U121" s="57">
        <v>22</v>
      </c>
      <c r="V121" s="57"/>
      <c r="W121" s="57">
        <v>22</v>
      </c>
      <c r="X121" s="57">
        <v>22</v>
      </c>
      <c r="Y121" s="57">
        <v>22</v>
      </c>
    </row>
    <row r="122" spans="3:28" x14ac:dyDescent="0.25">
      <c r="E122">
        <v>-3</v>
      </c>
      <c r="G122" s="72">
        <f t="shared" si="94"/>
        <v>4.4150000000000005E-3</v>
      </c>
      <c r="H122" s="73">
        <f>$N$122*10^E122</f>
        <v>5.0000000000000001E-3</v>
      </c>
      <c r="I122" s="64">
        <f t="shared" si="95"/>
        <v>6.8500000000000006E-4</v>
      </c>
      <c r="J122" s="53"/>
      <c r="N122">
        <v>5</v>
      </c>
    </row>
    <row r="123" spans="3:28" x14ac:dyDescent="0.25">
      <c r="E123">
        <v>-3</v>
      </c>
      <c r="G123" s="72">
        <f t="shared" si="94"/>
        <v>5.4150000000000005E-3</v>
      </c>
      <c r="H123" s="73">
        <f>$N$123*10^E123</f>
        <v>6.0000000000000001E-3</v>
      </c>
      <c r="I123" s="64">
        <f t="shared" si="95"/>
        <v>1.3700000000000001E-3</v>
      </c>
      <c r="J123" s="53"/>
      <c r="N123">
        <v>6</v>
      </c>
    </row>
    <row r="124" spans="3:28" x14ac:dyDescent="0.25">
      <c r="E124">
        <v>-3</v>
      </c>
      <c r="G124" s="74">
        <f t="shared" si="94"/>
        <v>6.7300000000000007E-3</v>
      </c>
      <c r="H124" s="75">
        <f>$N$124*10^E124</f>
        <v>8.0000000000000002E-3</v>
      </c>
      <c r="I124" s="64">
        <f t="shared" si="95"/>
        <v>1.3700000000000001E-3</v>
      </c>
      <c r="J124" s="53"/>
      <c r="N124">
        <v>8</v>
      </c>
      <c r="V124" s="81" t="s">
        <v>126</v>
      </c>
      <c r="W124" s="81"/>
      <c r="X124" s="81"/>
    </row>
    <row r="125" spans="3:28" x14ac:dyDescent="0.25">
      <c r="E125">
        <v>-2</v>
      </c>
      <c r="G125" s="70">
        <f t="shared" si="94"/>
        <v>9.6299999999999997E-3</v>
      </c>
      <c r="H125" s="71">
        <f>$N$115*10^E125</f>
        <v>0.01</v>
      </c>
      <c r="I125" s="64">
        <f t="shared" si="95"/>
        <v>1.3700000000000001E-3</v>
      </c>
      <c r="J125" s="53"/>
      <c r="N125">
        <v>10</v>
      </c>
    </row>
    <row r="126" spans="3:28" x14ac:dyDescent="0.25">
      <c r="E126">
        <v>-2</v>
      </c>
      <c r="G126" s="72">
        <f t="shared" si="94"/>
        <v>1.1630000000000001E-2</v>
      </c>
      <c r="H126" s="73">
        <f>$N$116*10^E126</f>
        <v>1.2E-2</v>
      </c>
      <c r="I126" s="64">
        <f t="shared" si="95"/>
        <v>2.0549999999999995E-3</v>
      </c>
      <c r="J126" s="53"/>
    </row>
    <row r="127" spans="3:28" x14ac:dyDescent="0.25">
      <c r="E127">
        <v>-2</v>
      </c>
      <c r="G127" s="72">
        <f t="shared" si="94"/>
        <v>1.3944999999999999E-2</v>
      </c>
      <c r="H127" s="73">
        <f>$N$117*10^E127</f>
        <v>1.4999999999999999E-2</v>
      </c>
      <c r="I127" s="64">
        <f t="shared" si="95"/>
        <v>3.425000000000001E-3</v>
      </c>
      <c r="J127" s="53"/>
    </row>
    <row r="128" spans="3:28" x14ac:dyDescent="0.25">
      <c r="E128">
        <v>-2</v>
      </c>
      <c r="G128" s="72">
        <f t="shared" si="94"/>
        <v>1.7575E-2</v>
      </c>
      <c r="H128" s="73">
        <f>$N$118*10^E128</f>
        <v>0.02</v>
      </c>
      <c r="I128" s="64">
        <f t="shared" si="95"/>
        <v>3.425000000000001E-3</v>
      </c>
      <c r="J128" s="53"/>
      <c r="R128" t="s">
        <v>145</v>
      </c>
      <c r="S128" s="1" t="s">
        <v>139</v>
      </c>
      <c r="T128" s="85" t="s">
        <v>231</v>
      </c>
      <c r="U128" t="s">
        <v>144</v>
      </c>
      <c r="X128" s="1" t="s">
        <v>242</v>
      </c>
      <c r="Y128" s="1" t="s">
        <v>140</v>
      </c>
      <c r="Z128" s="1" t="s">
        <v>141</v>
      </c>
      <c r="AA128" s="1" t="s">
        <v>142</v>
      </c>
      <c r="AB128" s="1" t="s">
        <v>143</v>
      </c>
    </row>
    <row r="129" spans="5:28" x14ac:dyDescent="0.25">
      <c r="E129">
        <v>-2</v>
      </c>
      <c r="G129" s="72">
        <f t="shared" si="94"/>
        <v>2.2575000000000001E-2</v>
      </c>
      <c r="H129" s="73">
        <f>$N$119*10^E129</f>
        <v>2.5000000000000001E-2</v>
      </c>
      <c r="I129" s="64">
        <f t="shared" si="95"/>
        <v>3.4249999999999984E-3</v>
      </c>
      <c r="J129" s="53"/>
      <c r="R129" s="97" t="str">
        <f>L7</f>
        <v>Oly 60/2.8 Macro</v>
      </c>
      <c r="S129" s="97">
        <f>E7</f>
        <v>60</v>
      </c>
      <c r="T129" s="100">
        <f>F11</f>
        <v>240</v>
      </c>
      <c r="U129" s="98" t="str">
        <f>L37</f>
        <v>0.25 m to 4 m  &amp;  f/2.8 to f/5.6</v>
      </c>
      <c r="V129" s="97"/>
      <c r="W129" s="97"/>
      <c r="X129" s="116">
        <f>F13</f>
        <v>80</v>
      </c>
      <c r="Y129" s="97">
        <f>N42</f>
        <v>4</v>
      </c>
      <c r="Z129" s="99">
        <f>F46</f>
        <v>9.4223875345719021E-2</v>
      </c>
      <c r="AA129" s="99">
        <f>F47</f>
        <v>0.17599999999999874</v>
      </c>
      <c r="AB129" s="99">
        <f>F48</f>
        <v>-2.4655088387381306E-2</v>
      </c>
    </row>
    <row r="130" spans="5:28" x14ac:dyDescent="0.25">
      <c r="E130">
        <v>-2</v>
      </c>
      <c r="G130" s="72">
        <f t="shared" si="94"/>
        <v>2.7575000000000002E-2</v>
      </c>
      <c r="H130" s="73">
        <f>$N$120*10^E130</f>
        <v>0.03</v>
      </c>
      <c r="I130" s="64">
        <f t="shared" si="95"/>
        <v>6.8500000000000019E-3</v>
      </c>
      <c r="J130" s="53"/>
    </row>
    <row r="131" spans="5:28" x14ac:dyDescent="0.25">
      <c r="E131">
        <v>-2</v>
      </c>
      <c r="G131" s="72">
        <f t="shared" si="94"/>
        <v>3.415E-2</v>
      </c>
      <c r="H131" s="73">
        <f>$N$121*10^E131</f>
        <v>0.04</v>
      </c>
      <c r="I131" s="64">
        <f t="shared" si="95"/>
        <v>6.8500000000000019E-3</v>
      </c>
      <c r="J131" s="53"/>
    </row>
    <row r="132" spans="5:28" x14ac:dyDescent="0.25">
      <c r="E132">
        <v>-2</v>
      </c>
      <c r="G132" s="72">
        <f t="shared" si="94"/>
        <v>4.4150000000000002E-2</v>
      </c>
      <c r="H132" s="73">
        <f>$N$122*10^E132</f>
        <v>0.05</v>
      </c>
      <c r="I132" s="64">
        <f t="shared" si="95"/>
        <v>6.8499999999999967E-3</v>
      </c>
      <c r="J132" s="53"/>
    </row>
    <row r="133" spans="5:28" x14ac:dyDescent="0.25">
      <c r="E133">
        <v>-2</v>
      </c>
      <c r="G133" s="72">
        <f t="shared" si="94"/>
        <v>5.4150000000000004E-2</v>
      </c>
      <c r="H133" s="73">
        <f>$N$123*10^E133</f>
        <v>0.06</v>
      </c>
      <c r="I133" s="64">
        <f t="shared" si="95"/>
        <v>1.3700000000000004E-2</v>
      </c>
      <c r="J133" s="53"/>
    </row>
    <row r="134" spans="5:28" x14ac:dyDescent="0.25">
      <c r="E134">
        <v>-2</v>
      </c>
      <c r="G134" s="74">
        <f t="shared" si="94"/>
        <v>6.7299999999999999E-2</v>
      </c>
      <c r="H134" s="75">
        <f>$N$124*10^E134</f>
        <v>0.08</v>
      </c>
      <c r="I134" s="64">
        <f t="shared" si="95"/>
        <v>1.3700000000000004E-2</v>
      </c>
      <c r="J134" s="53"/>
    </row>
    <row r="135" spans="5:28" x14ac:dyDescent="0.25">
      <c r="E135">
        <v>-1</v>
      </c>
      <c r="G135" s="70">
        <f t="shared" si="94"/>
        <v>9.6299999999999997E-2</v>
      </c>
      <c r="H135" s="71">
        <f>$N$115*10^E135</f>
        <v>0.1</v>
      </c>
      <c r="I135" s="64">
        <f t="shared" si="95"/>
        <v>1.3699999999999993E-2</v>
      </c>
      <c r="J135" s="53"/>
    </row>
    <row r="136" spans="5:28" x14ac:dyDescent="0.25">
      <c r="E136">
        <v>-1</v>
      </c>
      <c r="G136" s="72">
        <f t="shared" si="94"/>
        <v>0.1163</v>
      </c>
      <c r="H136" s="73">
        <f>$N$116*10^E136</f>
        <v>0.12</v>
      </c>
      <c r="I136" s="64">
        <f t="shared" si="95"/>
        <v>2.055000000000002E-2</v>
      </c>
      <c r="J136" s="53"/>
    </row>
    <row r="137" spans="5:28" x14ac:dyDescent="0.25">
      <c r="E137">
        <v>-1</v>
      </c>
      <c r="G137" s="72">
        <f t="shared" si="94"/>
        <v>0.13945000000000002</v>
      </c>
      <c r="H137" s="73">
        <f>$N$117*10^E137</f>
        <v>0.15000000000000002</v>
      </c>
      <c r="I137" s="64">
        <f t="shared" si="95"/>
        <v>3.4249999999999996E-2</v>
      </c>
      <c r="J137" s="53"/>
    </row>
    <row r="138" spans="5:28" x14ac:dyDescent="0.25">
      <c r="E138">
        <v>-1</v>
      </c>
      <c r="G138" s="72">
        <f t="shared" si="94"/>
        <v>0.17575000000000002</v>
      </c>
      <c r="H138" s="73">
        <f>$N$118*10^E138</f>
        <v>0.2</v>
      </c>
      <c r="I138" s="64">
        <f t="shared" si="95"/>
        <v>3.4249999999999996E-2</v>
      </c>
      <c r="J138" s="53"/>
    </row>
    <row r="139" spans="5:28" x14ac:dyDescent="0.25">
      <c r="E139">
        <v>-1</v>
      </c>
      <c r="G139" s="72">
        <f t="shared" si="94"/>
        <v>0.22575000000000001</v>
      </c>
      <c r="H139" s="73">
        <f>$N$119*10^E139</f>
        <v>0.25</v>
      </c>
      <c r="I139" s="64">
        <f t="shared" si="95"/>
        <v>3.425000000000003E-2</v>
      </c>
      <c r="J139" s="53"/>
    </row>
    <row r="140" spans="5:28" x14ac:dyDescent="0.25">
      <c r="E140">
        <v>-1</v>
      </c>
      <c r="G140" s="72">
        <f t="shared" si="94"/>
        <v>0.27575000000000005</v>
      </c>
      <c r="H140" s="73">
        <f>$N$120*10^E140</f>
        <v>0.30000000000000004</v>
      </c>
      <c r="I140" s="64">
        <f t="shared" si="95"/>
        <v>6.8499999999999991E-2</v>
      </c>
      <c r="J140" s="53"/>
    </row>
    <row r="141" spans="5:28" x14ac:dyDescent="0.25">
      <c r="E141">
        <v>-1</v>
      </c>
      <c r="G141" s="72">
        <f t="shared" si="94"/>
        <v>0.34150000000000003</v>
      </c>
      <c r="H141" s="73">
        <f>$N$121*10^E141</f>
        <v>0.4</v>
      </c>
      <c r="I141" s="64">
        <f t="shared" si="95"/>
        <v>6.8499999999999991E-2</v>
      </c>
      <c r="J141" s="53"/>
    </row>
    <row r="142" spans="5:28" x14ac:dyDescent="0.25">
      <c r="E142">
        <v>-1</v>
      </c>
      <c r="G142" s="72">
        <f t="shared" si="94"/>
        <v>0.4415</v>
      </c>
      <c r="H142" s="73">
        <f>$N$122*10^E142</f>
        <v>0.5</v>
      </c>
      <c r="I142" s="64">
        <f t="shared" si="95"/>
        <v>6.8500000000000061E-2</v>
      </c>
    </row>
    <row r="143" spans="5:28" x14ac:dyDescent="0.25">
      <c r="E143">
        <v>-1</v>
      </c>
      <c r="G143" s="72">
        <f t="shared" si="94"/>
        <v>0.54150000000000009</v>
      </c>
      <c r="H143" s="73">
        <f>$N$123*10^E143</f>
        <v>0.60000000000000009</v>
      </c>
      <c r="I143" s="64">
        <f t="shared" si="95"/>
        <v>0.13699999999999998</v>
      </c>
    </row>
    <row r="144" spans="5:28" x14ac:dyDescent="0.25">
      <c r="E144">
        <v>-1</v>
      </c>
      <c r="G144" s="74">
        <f t="shared" si="94"/>
        <v>0.67300000000000004</v>
      </c>
      <c r="H144" s="75">
        <f>$N$124*10^E144</f>
        <v>0.8</v>
      </c>
      <c r="I144" s="64">
        <f t="shared" si="95"/>
        <v>0.13699999999999998</v>
      </c>
    </row>
    <row r="145" spans="5:9" x14ac:dyDescent="0.25">
      <c r="E145">
        <v>0</v>
      </c>
      <c r="G145" s="70">
        <f t="shared" si="94"/>
        <v>0.96299999999999997</v>
      </c>
      <c r="H145" s="71">
        <f>$N$115*10^E145</f>
        <v>1</v>
      </c>
      <c r="I145" s="64">
        <f t="shared" si="95"/>
        <v>0.13699999999999998</v>
      </c>
    </row>
    <row r="146" spans="5:9" x14ac:dyDescent="0.25">
      <c r="E146">
        <v>0</v>
      </c>
      <c r="G146" s="72">
        <f t="shared" si="94"/>
        <v>1.163</v>
      </c>
      <c r="H146" s="73">
        <f>$N$116*10^E146</f>
        <v>1.2</v>
      </c>
      <c r="I146" s="64">
        <f t="shared" si="95"/>
        <v>0.20550000000000004</v>
      </c>
    </row>
    <row r="147" spans="5:9" x14ac:dyDescent="0.25">
      <c r="E147">
        <v>0</v>
      </c>
      <c r="G147" s="72">
        <f t="shared" ref="G147:G178" si="96">H147-I146+10^(E147-1)</f>
        <v>1.3945000000000001</v>
      </c>
      <c r="H147" s="73">
        <f>$N$117*10^E147</f>
        <v>1.5</v>
      </c>
      <c r="I147" s="64">
        <f t="shared" si="95"/>
        <v>0.34250000000000003</v>
      </c>
    </row>
    <row r="148" spans="5:9" x14ac:dyDescent="0.25">
      <c r="E148">
        <v>0</v>
      </c>
      <c r="G148" s="72">
        <f t="shared" si="96"/>
        <v>1.7575000000000001</v>
      </c>
      <c r="H148" s="73">
        <f>$N$118*10^E148</f>
        <v>2</v>
      </c>
      <c r="I148" s="64">
        <f t="shared" si="95"/>
        <v>0.34250000000000003</v>
      </c>
    </row>
    <row r="149" spans="5:9" x14ac:dyDescent="0.25">
      <c r="E149">
        <v>0</v>
      </c>
      <c r="G149" s="72">
        <f t="shared" si="96"/>
        <v>2.2574999999999998</v>
      </c>
      <c r="H149" s="73">
        <f>$N$119*10^E149</f>
        <v>2.5</v>
      </c>
      <c r="I149" s="64">
        <f t="shared" si="95"/>
        <v>0.34250000000000003</v>
      </c>
    </row>
    <row r="150" spans="5:9" x14ac:dyDescent="0.25">
      <c r="E150">
        <v>0</v>
      </c>
      <c r="G150" s="72">
        <f t="shared" si="96"/>
        <v>2.7574999999999998</v>
      </c>
      <c r="H150" s="73">
        <f>$N$120*10^E150</f>
        <v>3</v>
      </c>
      <c r="I150" s="64">
        <f t="shared" si="95"/>
        <v>0.68500000000000005</v>
      </c>
    </row>
    <row r="151" spans="5:9" x14ac:dyDescent="0.25">
      <c r="E151">
        <v>0</v>
      </c>
      <c r="G151" s="72">
        <f t="shared" si="96"/>
        <v>3.415</v>
      </c>
      <c r="H151" s="73">
        <f>$N$121*10^E151</f>
        <v>4</v>
      </c>
      <c r="I151" s="64">
        <f t="shared" si="95"/>
        <v>0.68500000000000005</v>
      </c>
    </row>
    <row r="152" spans="5:9" x14ac:dyDescent="0.25">
      <c r="E152">
        <v>0</v>
      </c>
      <c r="G152" s="72">
        <f t="shared" si="96"/>
        <v>4.4149999999999991</v>
      </c>
      <c r="H152" s="73">
        <f>$N$122*10^E152</f>
        <v>5</v>
      </c>
      <c r="I152" s="64">
        <f t="shared" si="95"/>
        <v>0.68500000000000005</v>
      </c>
    </row>
    <row r="153" spans="5:9" x14ac:dyDescent="0.25">
      <c r="E153">
        <v>0</v>
      </c>
      <c r="G153" s="72">
        <f t="shared" si="96"/>
        <v>5.4149999999999991</v>
      </c>
      <c r="H153" s="73">
        <f>$N$123*10^E153</f>
        <v>6</v>
      </c>
      <c r="I153" s="64">
        <f t="shared" si="95"/>
        <v>1.37</v>
      </c>
    </row>
    <row r="154" spans="5:9" x14ac:dyDescent="0.25">
      <c r="E154">
        <v>0</v>
      </c>
      <c r="G154" s="74">
        <f t="shared" si="96"/>
        <v>6.7299999999999995</v>
      </c>
      <c r="H154" s="75">
        <f>$N$124*10^E154</f>
        <v>8</v>
      </c>
      <c r="I154" s="64">
        <f t="shared" si="95"/>
        <v>1.37</v>
      </c>
    </row>
    <row r="155" spans="5:9" x14ac:dyDescent="0.25">
      <c r="E155">
        <v>1</v>
      </c>
      <c r="G155" s="70">
        <f t="shared" si="96"/>
        <v>9.629999999999999</v>
      </c>
      <c r="H155" s="71">
        <f>$N$115*10^E155</f>
        <v>10</v>
      </c>
      <c r="I155" s="64">
        <f t="shared" si="95"/>
        <v>1.37</v>
      </c>
    </row>
    <row r="156" spans="5:9" x14ac:dyDescent="0.25">
      <c r="E156">
        <v>1</v>
      </c>
      <c r="G156" s="72">
        <f t="shared" si="96"/>
        <v>11.629999999999999</v>
      </c>
      <c r="H156" s="73">
        <f>$N$116*10^E156</f>
        <v>12</v>
      </c>
      <c r="I156" s="64">
        <f t="shared" si="95"/>
        <v>2.0550000000000002</v>
      </c>
    </row>
    <row r="157" spans="5:9" x14ac:dyDescent="0.25">
      <c r="E157">
        <v>1</v>
      </c>
      <c r="G157" s="72">
        <f t="shared" si="96"/>
        <v>13.945</v>
      </c>
      <c r="H157" s="73">
        <f>$N$117*10^E157</f>
        <v>15</v>
      </c>
      <c r="I157" s="64">
        <f t="shared" si="95"/>
        <v>3.4250000000000003</v>
      </c>
    </row>
    <row r="158" spans="5:9" x14ac:dyDescent="0.25">
      <c r="E158">
        <v>1</v>
      </c>
      <c r="G158" s="72">
        <f t="shared" si="96"/>
        <v>17.574999999999999</v>
      </c>
      <c r="H158" s="73">
        <f>$N$118*10^E158</f>
        <v>20</v>
      </c>
      <c r="I158" s="64">
        <f t="shared" si="95"/>
        <v>3.4250000000000003</v>
      </c>
    </row>
    <row r="159" spans="5:9" x14ac:dyDescent="0.25">
      <c r="E159">
        <v>1</v>
      </c>
      <c r="G159" s="72">
        <f t="shared" si="96"/>
        <v>22.574999999999999</v>
      </c>
      <c r="H159" s="73">
        <f>$N$119*10^E159</f>
        <v>25</v>
      </c>
      <c r="I159" s="64">
        <f t="shared" si="95"/>
        <v>3.4250000000000003</v>
      </c>
    </row>
    <row r="160" spans="5:9" x14ac:dyDescent="0.25">
      <c r="E160">
        <v>1</v>
      </c>
      <c r="G160" s="72">
        <f t="shared" si="96"/>
        <v>27.574999999999999</v>
      </c>
      <c r="H160" s="73">
        <f>$N$120*10^E160</f>
        <v>30</v>
      </c>
      <c r="I160" s="64">
        <f t="shared" si="95"/>
        <v>6.8500000000000005</v>
      </c>
    </row>
    <row r="161" spans="5:10" x14ac:dyDescent="0.25">
      <c r="E161">
        <v>1</v>
      </c>
      <c r="G161" s="72">
        <f t="shared" si="96"/>
        <v>34.15</v>
      </c>
      <c r="H161" s="73">
        <f>$N$121*10^E161</f>
        <v>40</v>
      </c>
      <c r="I161" s="64">
        <f t="shared" si="95"/>
        <v>6.8500000000000005</v>
      </c>
    </row>
    <row r="162" spans="5:10" x14ac:dyDescent="0.25">
      <c r="E162">
        <v>1</v>
      </c>
      <c r="G162" s="72">
        <f t="shared" si="96"/>
        <v>44.15</v>
      </c>
      <c r="H162" s="73">
        <f>$N$122*10^E162</f>
        <v>50</v>
      </c>
      <c r="I162" s="64">
        <f t="shared" si="95"/>
        <v>6.8500000000000005</v>
      </c>
    </row>
    <row r="163" spans="5:10" x14ac:dyDescent="0.25">
      <c r="E163">
        <v>1</v>
      </c>
      <c r="G163" s="72">
        <f t="shared" si="96"/>
        <v>54.15</v>
      </c>
      <c r="H163" s="73">
        <f>$N$123*10^E163</f>
        <v>60</v>
      </c>
      <c r="I163" s="64">
        <f t="shared" si="95"/>
        <v>13.700000000000001</v>
      </c>
    </row>
    <row r="164" spans="5:10" x14ac:dyDescent="0.25">
      <c r="E164">
        <v>1</v>
      </c>
      <c r="G164" s="74">
        <f t="shared" si="96"/>
        <v>67.3</v>
      </c>
      <c r="H164" s="75">
        <f>$N$124*10^E164</f>
        <v>80</v>
      </c>
      <c r="I164" s="64">
        <f t="shared" si="95"/>
        <v>13.700000000000001</v>
      </c>
    </row>
    <row r="165" spans="5:10" x14ac:dyDescent="0.25">
      <c r="E165">
        <v>2</v>
      </c>
      <c r="G165" s="70">
        <f t="shared" si="96"/>
        <v>96.3</v>
      </c>
      <c r="H165" s="71">
        <f>$N$115*10^E165</f>
        <v>100</v>
      </c>
      <c r="I165" s="64">
        <f t="shared" si="95"/>
        <v>13.700000000000001</v>
      </c>
      <c r="J165" s="53"/>
    </row>
    <row r="166" spans="5:10" x14ac:dyDescent="0.25">
      <c r="E166">
        <v>2</v>
      </c>
      <c r="G166" s="72">
        <f t="shared" si="96"/>
        <v>116.3</v>
      </c>
      <c r="H166" s="73">
        <f>$N$116*10^E166</f>
        <v>120</v>
      </c>
      <c r="I166" s="64">
        <f t="shared" si="95"/>
        <v>20.55</v>
      </c>
    </row>
    <row r="167" spans="5:10" x14ac:dyDescent="0.25">
      <c r="E167">
        <v>2</v>
      </c>
      <c r="G167" s="72">
        <f t="shared" si="96"/>
        <v>139.44999999999999</v>
      </c>
      <c r="H167" s="73">
        <f>$N$117*10^E167</f>
        <v>150</v>
      </c>
      <c r="I167" s="64">
        <f t="shared" si="95"/>
        <v>34.25</v>
      </c>
    </row>
    <row r="168" spans="5:10" x14ac:dyDescent="0.25">
      <c r="E168">
        <v>2</v>
      </c>
      <c r="G168" s="72">
        <f t="shared" si="96"/>
        <v>175.75</v>
      </c>
      <c r="H168" s="73">
        <f>$N$118*10^E168</f>
        <v>200</v>
      </c>
      <c r="I168" s="64">
        <f t="shared" si="95"/>
        <v>34.25</v>
      </c>
    </row>
    <row r="169" spans="5:10" x14ac:dyDescent="0.25">
      <c r="E169">
        <v>2</v>
      </c>
      <c r="G169" s="72">
        <f t="shared" si="96"/>
        <v>225.75</v>
      </c>
      <c r="H169" s="73">
        <f>$N$119*10^E169</f>
        <v>250</v>
      </c>
      <c r="I169" s="64">
        <f t="shared" si="95"/>
        <v>34.25</v>
      </c>
    </row>
    <row r="170" spans="5:10" x14ac:dyDescent="0.25">
      <c r="E170">
        <v>2</v>
      </c>
      <c r="G170" s="72">
        <f t="shared" si="96"/>
        <v>275.75</v>
      </c>
      <c r="H170" s="73">
        <f>$N$120*10^E170</f>
        <v>300</v>
      </c>
      <c r="I170" s="64">
        <f t="shared" si="95"/>
        <v>68.5</v>
      </c>
    </row>
    <row r="171" spans="5:10" x14ac:dyDescent="0.25">
      <c r="E171">
        <v>2</v>
      </c>
      <c r="G171" s="72">
        <f t="shared" si="96"/>
        <v>341.5</v>
      </c>
      <c r="H171" s="73">
        <f>$N$121*10^E171</f>
        <v>400</v>
      </c>
      <c r="I171" s="64">
        <f t="shared" si="95"/>
        <v>68.5</v>
      </c>
    </row>
    <row r="172" spans="5:10" x14ac:dyDescent="0.25">
      <c r="E172">
        <v>2</v>
      </c>
      <c r="G172" s="72">
        <f t="shared" si="96"/>
        <v>441.5</v>
      </c>
      <c r="H172" s="73">
        <f>$N$122*10^E172</f>
        <v>500</v>
      </c>
      <c r="I172" s="64">
        <f t="shared" si="95"/>
        <v>68.5</v>
      </c>
    </row>
    <row r="173" spans="5:10" x14ac:dyDescent="0.25">
      <c r="E173">
        <v>2</v>
      </c>
      <c r="G173" s="72">
        <f t="shared" si="96"/>
        <v>541.5</v>
      </c>
      <c r="H173" s="73">
        <f>$N$123*10^E173</f>
        <v>600</v>
      </c>
      <c r="I173" s="64">
        <f t="shared" si="95"/>
        <v>137</v>
      </c>
    </row>
    <row r="174" spans="5:10" x14ac:dyDescent="0.25">
      <c r="E174">
        <v>2</v>
      </c>
      <c r="G174" s="74">
        <f t="shared" si="96"/>
        <v>673</v>
      </c>
      <c r="H174" s="75">
        <f>$N$124*10^E174</f>
        <v>800</v>
      </c>
      <c r="I174" s="64">
        <f t="shared" si="95"/>
        <v>137</v>
      </c>
    </row>
    <row r="175" spans="5:10" x14ac:dyDescent="0.25">
      <c r="E175">
        <v>3</v>
      </c>
      <c r="G175" s="70">
        <f t="shared" si="96"/>
        <v>963</v>
      </c>
      <c r="H175" s="71">
        <f>$N$115*10^E175</f>
        <v>1000</v>
      </c>
      <c r="I175" s="64">
        <f t="shared" si="95"/>
        <v>137</v>
      </c>
    </row>
    <row r="176" spans="5:10" x14ac:dyDescent="0.25">
      <c r="E176">
        <v>3</v>
      </c>
      <c r="G176" s="72">
        <f t="shared" si="96"/>
        <v>1163</v>
      </c>
      <c r="H176" s="73">
        <f>$N$116*10^E176</f>
        <v>1200</v>
      </c>
      <c r="I176" s="64">
        <f t="shared" si="95"/>
        <v>205.50000000000003</v>
      </c>
    </row>
    <row r="177" spans="5:9" x14ac:dyDescent="0.25">
      <c r="E177">
        <v>3</v>
      </c>
      <c r="G177" s="72">
        <f t="shared" si="96"/>
        <v>1394.5</v>
      </c>
      <c r="H177" s="73">
        <f>$N$117*10^E177</f>
        <v>1500</v>
      </c>
      <c r="I177" s="64">
        <f t="shared" si="95"/>
        <v>342.5</v>
      </c>
    </row>
    <row r="178" spans="5:9" x14ac:dyDescent="0.25">
      <c r="E178">
        <v>3</v>
      </c>
      <c r="G178" s="72">
        <f t="shared" si="96"/>
        <v>1757.5</v>
      </c>
      <c r="H178" s="73">
        <f>$N$118*10^E178</f>
        <v>2000</v>
      </c>
      <c r="I178" s="64">
        <f t="shared" si="95"/>
        <v>342.5</v>
      </c>
    </row>
    <row r="179" spans="5:9" x14ac:dyDescent="0.25">
      <c r="E179">
        <v>3</v>
      </c>
      <c r="G179" s="72">
        <f t="shared" ref="G179:G194" si="97">H179-I178+10^(E179-1)</f>
        <v>2257.5</v>
      </c>
      <c r="H179" s="73">
        <f>$N$119*10^E179</f>
        <v>2500</v>
      </c>
      <c r="I179" s="64">
        <f t="shared" si="95"/>
        <v>342.5</v>
      </c>
    </row>
    <row r="180" spans="5:9" x14ac:dyDescent="0.25">
      <c r="E180">
        <v>3</v>
      </c>
      <c r="G180" s="72">
        <f t="shared" si="97"/>
        <v>2757.5</v>
      </c>
      <c r="H180" s="73">
        <f>$N$120*10^E180</f>
        <v>3000</v>
      </c>
      <c r="I180" s="64">
        <f t="shared" ref="I180:I194" si="98">(H181-H180)*0.685</f>
        <v>685</v>
      </c>
    </row>
    <row r="181" spans="5:9" x14ac:dyDescent="0.25">
      <c r="E181">
        <v>3</v>
      </c>
      <c r="G181" s="72">
        <f t="shared" si="97"/>
        <v>3415</v>
      </c>
      <c r="H181" s="73">
        <f>$N$121*10^E181</f>
        <v>4000</v>
      </c>
      <c r="I181" s="64">
        <f t="shared" si="98"/>
        <v>685</v>
      </c>
    </row>
    <row r="182" spans="5:9" x14ac:dyDescent="0.25">
      <c r="E182">
        <v>3</v>
      </c>
      <c r="G182" s="72">
        <f t="shared" si="97"/>
        <v>4415</v>
      </c>
      <c r="H182" s="73">
        <f>$N$122*10^E182</f>
        <v>5000</v>
      </c>
      <c r="I182" s="64">
        <f t="shared" si="98"/>
        <v>685</v>
      </c>
    </row>
    <row r="183" spans="5:9" x14ac:dyDescent="0.25">
      <c r="E183">
        <v>3</v>
      </c>
      <c r="G183" s="72">
        <f t="shared" si="97"/>
        <v>5415</v>
      </c>
      <c r="H183" s="73">
        <f>$N$123*10^E183</f>
        <v>6000</v>
      </c>
      <c r="I183" s="64">
        <f t="shared" si="98"/>
        <v>1370</v>
      </c>
    </row>
    <row r="184" spans="5:9" x14ac:dyDescent="0.25">
      <c r="E184">
        <v>3</v>
      </c>
      <c r="G184" s="74">
        <f t="shared" si="97"/>
        <v>6730</v>
      </c>
      <c r="H184" s="75">
        <f>$N$124*10^E184</f>
        <v>8000</v>
      </c>
      <c r="I184" s="64">
        <f t="shared" si="98"/>
        <v>1370</v>
      </c>
    </row>
    <row r="185" spans="5:9" x14ac:dyDescent="0.25">
      <c r="E185">
        <v>4</v>
      </c>
      <c r="G185" s="70">
        <f t="shared" si="97"/>
        <v>9630</v>
      </c>
      <c r="H185" s="71">
        <f>$N$115*10^E185</f>
        <v>10000</v>
      </c>
      <c r="I185" s="64">
        <f t="shared" si="98"/>
        <v>1370</v>
      </c>
    </row>
    <row r="186" spans="5:9" x14ac:dyDescent="0.25">
      <c r="E186">
        <v>4</v>
      </c>
      <c r="G186" s="72">
        <f t="shared" si="97"/>
        <v>11630</v>
      </c>
      <c r="H186" s="73">
        <f>$N$116*10^E186</f>
        <v>12000</v>
      </c>
      <c r="I186" s="64">
        <f t="shared" si="98"/>
        <v>2055</v>
      </c>
    </row>
    <row r="187" spans="5:9" x14ac:dyDescent="0.25">
      <c r="E187">
        <v>4</v>
      </c>
      <c r="G187" s="72">
        <f t="shared" si="97"/>
        <v>13945</v>
      </c>
      <c r="H187" s="73">
        <f>$N$117*10^E187</f>
        <v>15000</v>
      </c>
      <c r="I187" s="64">
        <f t="shared" si="98"/>
        <v>3425.0000000000005</v>
      </c>
    </row>
    <row r="188" spans="5:9" x14ac:dyDescent="0.25">
      <c r="E188">
        <v>4</v>
      </c>
      <c r="G188" s="72">
        <f t="shared" si="97"/>
        <v>17575</v>
      </c>
      <c r="H188" s="73">
        <f>$N$118*10^E188</f>
        <v>20000</v>
      </c>
      <c r="I188" s="64">
        <f t="shared" si="98"/>
        <v>3425.0000000000005</v>
      </c>
    </row>
    <row r="189" spans="5:9" x14ac:dyDescent="0.25">
      <c r="E189">
        <v>4</v>
      </c>
      <c r="G189" s="72">
        <f t="shared" si="97"/>
        <v>22575</v>
      </c>
      <c r="H189" s="73">
        <f>$N$119*10^E189</f>
        <v>25000</v>
      </c>
      <c r="I189" s="64">
        <f t="shared" si="98"/>
        <v>3425.0000000000005</v>
      </c>
    </row>
    <row r="190" spans="5:9" x14ac:dyDescent="0.25">
      <c r="E190">
        <v>4</v>
      </c>
      <c r="G190" s="72">
        <f t="shared" si="97"/>
        <v>27575</v>
      </c>
      <c r="H190" s="73">
        <f>$N$120*10^E190</f>
        <v>30000</v>
      </c>
      <c r="I190" s="64">
        <f t="shared" si="98"/>
        <v>6850.0000000000009</v>
      </c>
    </row>
    <row r="191" spans="5:9" x14ac:dyDescent="0.25">
      <c r="E191">
        <v>4</v>
      </c>
      <c r="G191" s="72">
        <f t="shared" si="97"/>
        <v>34150</v>
      </c>
      <c r="H191" s="73">
        <f>$N$121*10^E191</f>
        <v>40000</v>
      </c>
      <c r="I191" s="64">
        <f t="shared" si="98"/>
        <v>6850.0000000000009</v>
      </c>
    </row>
    <row r="192" spans="5:9" x14ac:dyDescent="0.25">
      <c r="E192">
        <v>4</v>
      </c>
      <c r="G192" s="72">
        <f t="shared" si="97"/>
        <v>44150</v>
      </c>
      <c r="H192" s="73">
        <f>$N$122*10^E192</f>
        <v>50000</v>
      </c>
      <c r="I192" s="64">
        <f t="shared" si="98"/>
        <v>6850.0000000000009</v>
      </c>
    </row>
    <row r="193" spans="5:9" x14ac:dyDescent="0.25">
      <c r="E193">
        <v>4</v>
      </c>
      <c r="G193" s="72">
        <f t="shared" si="97"/>
        <v>54150</v>
      </c>
      <c r="H193" s="73">
        <f>$N$123*10^E193</f>
        <v>60000</v>
      </c>
      <c r="I193" s="64">
        <f t="shared" si="98"/>
        <v>13700.000000000002</v>
      </c>
    </row>
    <row r="194" spans="5:9" x14ac:dyDescent="0.25">
      <c r="E194">
        <v>4</v>
      </c>
      <c r="G194" s="74">
        <f t="shared" si="97"/>
        <v>67300</v>
      </c>
      <c r="H194" s="75">
        <f>$N$124*10^E194</f>
        <v>80000</v>
      </c>
      <c r="I194" s="64">
        <f t="shared" si="98"/>
        <v>13700.000000000002</v>
      </c>
    </row>
    <row r="195" spans="5:9" x14ac:dyDescent="0.25">
      <c r="G195" s="64">
        <v>100000</v>
      </c>
      <c r="H195" s="64">
        <v>100000</v>
      </c>
      <c r="I195" s="64">
        <v>20000</v>
      </c>
    </row>
  </sheetData>
  <sortState xmlns:xlrd2="http://schemas.microsoft.com/office/spreadsheetml/2017/richdata2" ref="R94:R121">
    <sortCondition ref="R94:R121"/>
  </sortState>
  <mergeCells count="29">
    <mergeCell ref="G1:K1"/>
    <mergeCell ref="G2:K2"/>
    <mergeCell ref="G105:H105"/>
    <mergeCell ref="G106:H106"/>
    <mergeCell ref="G108:H108"/>
    <mergeCell ref="G99:H99"/>
    <mergeCell ref="G98:H98"/>
    <mergeCell ref="G100:H100"/>
    <mergeCell ref="G101:H101"/>
    <mergeCell ref="G102:H102"/>
    <mergeCell ref="G103:H103"/>
    <mergeCell ref="G104:H104"/>
    <mergeCell ref="J47:K47"/>
    <mergeCell ref="J48:K48"/>
    <mergeCell ref="J45:K45"/>
    <mergeCell ref="J46:K46"/>
    <mergeCell ref="C22:C31"/>
    <mergeCell ref="F19:N19"/>
    <mergeCell ref="I4:J4"/>
    <mergeCell ref="M11:N11"/>
    <mergeCell ref="I5:J5"/>
    <mergeCell ref="S90:U90"/>
    <mergeCell ref="W90:Y90"/>
    <mergeCell ref="L7:N7"/>
    <mergeCell ref="L8:N8"/>
    <mergeCell ref="S89:Y89"/>
    <mergeCell ref="F40:N40"/>
    <mergeCell ref="F43:N43"/>
    <mergeCell ref="M10:N10"/>
  </mergeCells>
  <conditionalFormatting sqref="F22:N31">
    <cfRule type="expression" dxfId="2" priority="1">
      <formula>AND($E22&lt;F$13,F$21&lt;&gt;"")</formula>
    </cfRule>
    <cfRule type="expression" dxfId="1" priority="12">
      <formula>F$21=""</formula>
    </cfRule>
  </conditionalFormatting>
  <conditionalFormatting sqref="F50:N60">
    <cfRule type="expression" dxfId="0" priority="2">
      <formula>AND(F50&lt;&gt;"",F50&lt;&gt;"ok")</formula>
    </cfRule>
  </conditionalFormatting>
  <hyperlinks>
    <hyperlink ref="L1" r:id="rId1" display="https://creativecommons.org/licenses/by-nc-sa/4.0/" xr:uid="{FFDABE79-5BF8-4CA8-8F5D-FBABDBDB0184}"/>
    <hyperlink ref="G2" r:id="rId2" xr:uid="{C5614787-AD13-48E8-8FD6-732E3194E887}"/>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B99B3-127A-43B9-A654-F0613CE69C61}">
  <dimension ref="B1:R63"/>
  <sheetViews>
    <sheetView showGridLines="0" workbookViewId="0"/>
  </sheetViews>
  <sheetFormatPr defaultRowHeight="15" x14ac:dyDescent="0.25"/>
  <cols>
    <col min="2" max="2" width="4.85546875" customWidth="1"/>
  </cols>
  <sheetData>
    <row r="1" spans="2:7" ht="13.5" customHeight="1" x14ac:dyDescent="0.25">
      <c r="B1" s="15" t="s">
        <v>38</v>
      </c>
    </row>
    <row r="2" spans="2:7" ht="13.5" customHeight="1" x14ac:dyDescent="0.25">
      <c r="C2" t="s">
        <v>270</v>
      </c>
    </row>
    <row r="3" spans="2:7" ht="13.5" customHeight="1" x14ac:dyDescent="0.25">
      <c r="C3" t="s">
        <v>222</v>
      </c>
    </row>
    <row r="4" spans="2:7" ht="13.5" customHeight="1" x14ac:dyDescent="0.25">
      <c r="B4" s="15"/>
      <c r="C4" t="s">
        <v>271</v>
      </c>
    </row>
    <row r="5" spans="2:7" ht="13.5" customHeight="1" x14ac:dyDescent="0.25">
      <c r="C5" t="s">
        <v>223</v>
      </c>
    </row>
    <row r="6" spans="2:7" ht="13.5" customHeight="1" x14ac:dyDescent="0.25">
      <c r="C6" t="s">
        <v>272</v>
      </c>
    </row>
    <row r="7" spans="2:7" ht="13.5" customHeight="1" x14ac:dyDescent="0.25">
      <c r="C7" t="s">
        <v>273</v>
      </c>
    </row>
    <row r="8" spans="2:7" ht="13.5" customHeight="1" x14ac:dyDescent="0.25">
      <c r="C8" t="s">
        <v>262</v>
      </c>
    </row>
    <row r="9" spans="2:7" ht="13.5" customHeight="1" x14ac:dyDescent="0.25">
      <c r="C9" t="s">
        <v>274</v>
      </c>
    </row>
    <row r="10" spans="2:7" ht="13.5" customHeight="1" x14ac:dyDescent="0.25">
      <c r="C10" t="s">
        <v>275</v>
      </c>
    </row>
    <row r="11" spans="2:7" ht="13.5" customHeight="1" x14ac:dyDescent="0.25"/>
    <row r="12" spans="2:7" ht="13.5" customHeight="1" x14ac:dyDescent="0.25">
      <c r="B12" s="15" t="s">
        <v>48</v>
      </c>
    </row>
    <row r="13" spans="2:7" ht="13.5" customHeight="1" x14ac:dyDescent="0.25">
      <c r="C13" t="s">
        <v>266</v>
      </c>
    </row>
    <row r="14" spans="2:7" ht="13.5" customHeight="1" x14ac:dyDescent="0.25">
      <c r="D14" t="s">
        <v>264</v>
      </c>
      <c r="G14" t="s">
        <v>263</v>
      </c>
    </row>
    <row r="15" spans="2:7" ht="13.5" customHeight="1" x14ac:dyDescent="0.25">
      <c r="C15" t="s">
        <v>265</v>
      </c>
    </row>
    <row r="16" spans="2:7" ht="13.5" customHeight="1" x14ac:dyDescent="0.25">
      <c r="D16" t="s">
        <v>267</v>
      </c>
    </row>
    <row r="17" spans="2:4" ht="13.5" customHeight="1" x14ac:dyDescent="0.25">
      <c r="B17" s="15"/>
      <c r="C17" t="s">
        <v>177</v>
      </c>
    </row>
    <row r="18" spans="2:4" ht="13.5" customHeight="1" x14ac:dyDescent="0.25">
      <c r="D18" t="s">
        <v>224</v>
      </c>
    </row>
    <row r="19" spans="2:4" ht="13.5" customHeight="1" x14ac:dyDescent="0.25">
      <c r="C19" t="s">
        <v>178</v>
      </c>
    </row>
    <row r="20" spans="2:4" ht="13.5" customHeight="1" x14ac:dyDescent="0.25">
      <c r="D20" t="s">
        <v>225</v>
      </c>
    </row>
    <row r="21" spans="2:4" ht="13.5" customHeight="1" x14ac:dyDescent="0.25"/>
    <row r="22" spans="2:4" ht="13.5" customHeight="1" x14ac:dyDescent="0.25">
      <c r="B22" s="15" t="s">
        <v>202</v>
      </c>
    </row>
    <row r="23" spans="2:4" ht="13.5" customHeight="1" x14ac:dyDescent="0.25">
      <c r="B23" s="59">
        <v>1</v>
      </c>
      <c r="C23" t="s">
        <v>56</v>
      </c>
    </row>
    <row r="24" spans="2:4" ht="13.5" customHeight="1" x14ac:dyDescent="0.25">
      <c r="B24" s="15"/>
      <c r="C24" t="s">
        <v>206</v>
      </c>
    </row>
    <row r="25" spans="2:4" ht="13.5" customHeight="1" x14ac:dyDescent="0.25">
      <c r="C25" t="s">
        <v>207</v>
      </c>
    </row>
    <row r="26" spans="2:4" ht="13.5" customHeight="1" x14ac:dyDescent="0.25">
      <c r="B26" s="79">
        <v>2</v>
      </c>
      <c r="C26" t="s">
        <v>276</v>
      </c>
    </row>
    <row r="27" spans="2:4" ht="13.5" customHeight="1" x14ac:dyDescent="0.25">
      <c r="C27" t="s">
        <v>241</v>
      </c>
    </row>
    <row r="28" spans="2:4" ht="13.5" customHeight="1" x14ac:dyDescent="0.25">
      <c r="B28" s="57">
        <v>3</v>
      </c>
      <c r="C28" t="s">
        <v>247</v>
      </c>
    </row>
    <row r="29" spans="2:4" ht="13.5" customHeight="1" x14ac:dyDescent="0.25">
      <c r="B29" s="59"/>
      <c r="C29" t="s">
        <v>248</v>
      </c>
    </row>
    <row r="30" spans="2:4" ht="13.5" customHeight="1" x14ac:dyDescent="0.25">
      <c r="C30" t="s">
        <v>226</v>
      </c>
    </row>
    <row r="31" spans="2:4" ht="13.5" customHeight="1" x14ac:dyDescent="0.25">
      <c r="B31" s="57">
        <v>4</v>
      </c>
      <c r="C31" t="s">
        <v>190</v>
      </c>
    </row>
    <row r="32" spans="2:4" ht="13.5" customHeight="1" x14ac:dyDescent="0.25">
      <c r="B32" s="57" t="s">
        <v>195</v>
      </c>
      <c r="C32" t="s">
        <v>91</v>
      </c>
    </row>
    <row r="33" spans="2:5" ht="13.5" customHeight="1" x14ac:dyDescent="0.25">
      <c r="B33" s="59" t="s">
        <v>196</v>
      </c>
      <c r="C33" t="s">
        <v>229</v>
      </c>
    </row>
    <row r="34" spans="2:5" ht="13.5" customHeight="1" x14ac:dyDescent="0.25">
      <c r="B34" s="57"/>
      <c r="D34" t="s">
        <v>227</v>
      </c>
    </row>
    <row r="35" spans="2:5" ht="13.5" customHeight="1" x14ac:dyDescent="0.25">
      <c r="B35" s="57"/>
      <c r="C35" t="s">
        <v>277</v>
      </c>
    </row>
    <row r="36" spans="2:5" ht="13.5" customHeight="1" x14ac:dyDescent="0.25">
      <c r="B36" s="57">
        <v>5</v>
      </c>
      <c r="C36" t="s">
        <v>208</v>
      </c>
    </row>
    <row r="37" spans="2:5" ht="13.5" customHeight="1" x14ac:dyDescent="0.25">
      <c r="B37" s="57"/>
      <c r="C37" t="s">
        <v>230</v>
      </c>
    </row>
    <row r="38" spans="2:5" ht="13.5" customHeight="1" x14ac:dyDescent="0.25">
      <c r="B38" s="57" t="s">
        <v>198</v>
      </c>
      <c r="C38" t="s">
        <v>92</v>
      </c>
    </row>
    <row r="39" spans="2:5" ht="13.5" customHeight="1" x14ac:dyDescent="0.25">
      <c r="B39" s="57" t="s">
        <v>199</v>
      </c>
      <c r="C39" t="s">
        <v>54</v>
      </c>
    </row>
    <row r="40" spans="2:5" ht="13.5" customHeight="1" x14ac:dyDescent="0.25">
      <c r="B40" s="57"/>
      <c r="D40" t="s">
        <v>55</v>
      </c>
    </row>
    <row r="41" spans="2:5" ht="13.5" customHeight="1" x14ac:dyDescent="0.25">
      <c r="B41" s="57" t="s">
        <v>197</v>
      </c>
      <c r="C41" t="s">
        <v>200</v>
      </c>
    </row>
    <row r="42" spans="2:5" ht="13.5" customHeight="1" x14ac:dyDescent="0.25">
      <c r="D42" t="s">
        <v>93</v>
      </c>
    </row>
    <row r="43" spans="2:5" ht="13.5" customHeight="1" x14ac:dyDescent="0.25">
      <c r="B43" s="59">
        <v>6</v>
      </c>
      <c r="C43" t="s">
        <v>204</v>
      </c>
      <c r="E43" s="9"/>
    </row>
    <row r="44" spans="2:5" ht="13.5" customHeight="1" x14ac:dyDescent="0.25">
      <c r="B44" s="57"/>
      <c r="C44" t="s">
        <v>201</v>
      </c>
      <c r="E44" s="9"/>
    </row>
    <row r="45" spans="2:5" ht="13.5" customHeight="1" x14ac:dyDescent="0.25">
      <c r="B45" s="57"/>
      <c r="C45" t="s">
        <v>228</v>
      </c>
    </row>
    <row r="46" spans="2:5" ht="13.5" customHeight="1" x14ac:dyDescent="0.25">
      <c r="B46" s="57"/>
      <c r="C46" t="s">
        <v>105</v>
      </c>
    </row>
    <row r="47" spans="2:5" ht="13.5" customHeight="1" x14ac:dyDescent="0.25">
      <c r="B47" s="57"/>
      <c r="C47" t="s">
        <v>205</v>
      </c>
    </row>
    <row r="48" spans="2:5" ht="13.5" customHeight="1" x14ac:dyDescent="0.25"/>
    <row r="49" spans="2:18" ht="13.5" customHeight="1" x14ac:dyDescent="0.25">
      <c r="B49" s="15" t="s">
        <v>57</v>
      </c>
    </row>
    <row r="50" spans="2:18" ht="13.5" customHeight="1" x14ac:dyDescent="0.25">
      <c r="C50" t="s">
        <v>58</v>
      </c>
    </row>
    <row r="51" spans="2:18" ht="13.5" customHeight="1" x14ac:dyDescent="0.25">
      <c r="C51" t="s">
        <v>59</v>
      </c>
    </row>
    <row r="52" spans="2:18" ht="13.5" customHeight="1" x14ac:dyDescent="0.25">
      <c r="C52" t="s">
        <v>94</v>
      </c>
    </row>
    <row r="53" spans="2:18" ht="13.5" customHeight="1" x14ac:dyDescent="0.25"/>
    <row r="54" spans="2:18" ht="13.5" customHeight="1" x14ac:dyDescent="0.25">
      <c r="B54" s="15" t="s">
        <v>167</v>
      </c>
    </row>
    <row r="55" spans="2:18" ht="13.5" customHeight="1" x14ac:dyDescent="0.25">
      <c r="C55" t="s">
        <v>168</v>
      </c>
    </row>
    <row r="56" spans="2:18" ht="13.5" customHeight="1" x14ac:dyDescent="0.25">
      <c r="C56" t="s">
        <v>174</v>
      </c>
    </row>
    <row r="57" spans="2:18" ht="13.5" customHeight="1" x14ac:dyDescent="0.25">
      <c r="C57" s="95" t="s">
        <v>173</v>
      </c>
      <c r="D57" s="95"/>
      <c r="E57" s="95"/>
      <c r="F57" s="95"/>
      <c r="G57" s="95"/>
      <c r="H57" s="95"/>
      <c r="I57" s="95"/>
      <c r="J57" s="95"/>
      <c r="K57" s="95"/>
      <c r="L57" s="95"/>
      <c r="M57" s="95"/>
      <c r="N57" s="95"/>
      <c r="O57" s="95"/>
      <c r="P57" s="95"/>
      <c r="Q57" s="95"/>
      <c r="R57" s="95"/>
    </row>
    <row r="58" spans="2:18" ht="13.5" customHeight="1" x14ac:dyDescent="0.25">
      <c r="C58" t="s">
        <v>169</v>
      </c>
    </row>
    <row r="59" spans="2:18" ht="13.5" customHeight="1" x14ac:dyDescent="0.25">
      <c r="C59" t="s">
        <v>249</v>
      </c>
    </row>
    <row r="60" spans="2:18" ht="13.5" customHeight="1" x14ac:dyDescent="0.25">
      <c r="C60" t="s">
        <v>250</v>
      </c>
    </row>
    <row r="61" spans="2:18" ht="13.5" customHeight="1" x14ac:dyDescent="0.25">
      <c r="C61" t="s">
        <v>175</v>
      </c>
    </row>
    <row r="62" spans="2:18" ht="13.5" customHeight="1" x14ac:dyDescent="0.25"/>
    <row r="63" spans="2:18" ht="13.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9DECC-D418-40D8-83AB-1D0F99D5E96D}">
  <dimension ref="A1:X56"/>
  <sheetViews>
    <sheetView showGridLines="0" workbookViewId="0"/>
  </sheetViews>
  <sheetFormatPr defaultRowHeight="15" x14ac:dyDescent="0.25"/>
  <cols>
    <col min="14" max="22" width="8.7109375" customWidth="1"/>
  </cols>
  <sheetData>
    <row r="1" spans="1:24" ht="15.75" x14ac:dyDescent="0.25">
      <c r="A1" s="80" t="s">
        <v>106</v>
      </c>
    </row>
    <row r="3" spans="1:24" x14ac:dyDescent="0.25">
      <c r="A3" s="15" t="s">
        <v>60</v>
      </c>
      <c r="G3" t="s">
        <v>86</v>
      </c>
      <c r="N3" s="15" t="s">
        <v>79</v>
      </c>
      <c r="X3" t="s">
        <v>85</v>
      </c>
    </row>
    <row r="4" spans="1:24" x14ac:dyDescent="0.25">
      <c r="B4" t="s">
        <v>61</v>
      </c>
      <c r="C4" t="s">
        <v>62</v>
      </c>
      <c r="D4" t="s">
        <v>63</v>
      </c>
      <c r="E4" t="s">
        <v>64</v>
      </c>
      <c r="F4" t="s">
        <v>65</v>
      </c>
      <c r="G4" t="s">
        <v>66</v>
      </c>
      <c r="H4" t="s">
        <v>67</v>
      </c>
      <c r="I4" t="s">
        <v>68</v>
      </c>
      <c r="J4" t="s">
        <v>69</v>
      </c>
    </row>
    <row r="5" spans="1:24" x14ac:dyDescent="0.25">
      <c r="A5" t="s">
        <v>70</v>
      </c>
      <c r="O5">
        <v>2.8</v>
      </c>
      <c r="P5">
        <v>4</v>
      </c>
      <c r="Q5">
        <v>5.6</v>
      </c>
      <c r="R5">
        <v>8</v>
      </c>
      <c r="S5">
        <v>11</v>
      </c>
      <c r="T5">
        <v>16</v>
      </c>
      <c r="U5">
        <v>22</v>
      </c>
    </row>
    <row r="6" spans="1:24" x14ac:dyDescent="0.25">
      <c r="A6">
        <v>0.25</v>
      </c>
      <c r="B6">
        <v>0</v>
      </c>
      <c r="C6">
        <v>0</v>
      </c>
      <c r="D6">
        <v>0</v>
      </c>
      <c r="E6">
        <v>0</v>
      </c>
      <c r="F6">
        <v>0</v>
      </c>
      <c r="G6">
        <v>0</v>
      </c>
      <c r="H6">
        <v>0</v>
      </c>
      <c r="I6">
        <v>10.000000000000009</v>
      </c>
      <c r="J6">
        <v>10.000000000000009</v>
      </c>
      <c r="N6" t="s">
        <v>70</v>
      </c>
    </row>
    <row r="7" spans="1:24" x14ac:dyDescent="0.25">
      <c r="A7">
        <v>0.5</v>
      </c>
      <c r="B7">
        <v>10.000000000000009</v>
      </c>
      <c r="C7">
        <v>10.000000000000009</v>
      </c>
      <c r="D7">
        <v>10.000000000000009</v>
      </c>
      <c r="E7">
        <v>10.000000000000009</v>
      </c>
      <c r="F7">
        <v>10.000000000000009</v>
      </c>
      <c r="G7">
        <v>20.000000000000018</v>
      </c>
      <c r="H7">
        <v>20.000000000000018</v>
      </c>
      <c r="I7">
        <v>20.000000000000018</v>
      </c>
      <c r="J7">
        <v>30.000000000000028</v>
      </c>
      <c r="N7">
        <v>0.3</v>
      </c>
      <c r="O7">
        <v>1.0000000000000009</v>
      </c>
      <c r="P7">
        <v>1.0000000000000009</v>
      </c>
      <c r="Q7">
        <v>1.0000000000000009</v>
      </c>
      <c r="R7">
        <v>2.0000000000000018</v>
      </c>
      <c r="S7">
        <v>3.0000000000000027</v>
      </c>
      <c r="T7">
        <v>4.0000000000000036</v>
      </c>
      <c r="U7">
        <v>6.0000000000000053</v>
      </c>
    </row>
    <row r="8" spans="1:24" x14ac:dyDescent="0.25">
      <c r="A8">
        <v>1</v>
      </c>
      <c r="B8">
        <v>30.000000000000028</v>
      </c>
      <c r="C8">
        <v>30.000000000000028</v>
      </c>
      <c r="D8">
        <v>40.000000000000036</v>
      </c>
      <c r="E8">
        <v>40.000000000000036</v>
      </c>
      <c r="F8">
        <v>50.000000000000043</v>
      </c>
      <c r="G8">
        <v>60.000000000000057</v>
      </c>
      <c r="H8">
        <v>69.999999999999957</v>
      </c>
      <c r="I8">
        <v>89.999999999999972</v>
      </c>
      <c r="J8">
        <v>99.999999999999972</v>
      </c>
      <c r="N8">
        <v>0.4</v>
      </c>
      <c r="O8">
        <v>2.0000000000000018</v>
      </c>
      <c r="P8">
        <v>2.0000000000000018</v>
      </c>
      <c r="Q8">
        <v>3.0000000000000027</v>
      </c>
      <c r="R8">
        <v>4.0000000000000036</v>
      </c>
      <c r="S8">
        <v>6.0000000000000053</v>
      </c>
      <c r="T8">
        <v>8.0000000000000071</v>
      </c>
      <c r="U8">
        <v>12.000000000000011</v>
      </c>
    </row>
    <row r="9" spans="1:24" x14ac:dyDescent="0.25">
      <c r="A9">
        <v>2</v>
      </c>
      <c r="B9">
        <v>110.0000000000001</v>
      </c>
      <c r="C9">
        <v>129.99999999999989</v>
      </c>
      <c r="D9">
        <v>149.99999999999991</v>
      </c>
      <c r="E9">
        <v>169.99999999999994</v>
      </c>
      <c r="F9">
        <v>199.99999999999994</v>
      </c>
      <c r="G9">
        <v>240</v>
      </c>
      <c r="H9">
        <v>270</v>
      </c>
      <c r="I9">
        <v>320.00000000000006</v>
      </c>
      <c r="J9">
        <v>370.00000000000011</v>
      </c>
      <c r="N9">
        <v>0.5</v>
      </c>
      <c r="O9">
        <v>3.0000000000000027</v>
      </c>
      <c r="P9">
        <v>4.0000000000000036</v>
      </c>
      <c r="Q9">
        <v>5.0000000000000044</v>
      </c>
      <c r="R9">
        <v>7.0000000000000062</v>
      </c>
      <c r="S9">
        <v>10.000000000000009</v>
      </c>
      <c r="T9">
        <v>14.000000000000012</v>
      </c>
      <c r="U9">
        <v>20.000000000000018</v>
      </c>
    </row>
    <row r="10" spans="1:24" x14ac:dyDescent="0.25">
      <c r="A10">
        <v>4</v>
      </c>
      <c r="B10">
        <v>410.00000000000011</v>
      </c>
      <c r="C10">
        <v>480</v>
      </c>
      <c r="D10">
        <v>549.99999999999977</v>
      </c>
      <c r="E10">
        <v>640.00000000000011</v>
      </c>
      <c r="F10">
        <v>740.00000000000023</v>
      </c>
      <c r="G10">
        <v>850.00000000000011</v>
      </c>
      <c r="H10">
        <v>970.00000000000023</v>
      </c>
      <c r="I10">
        <v>1100</v>
      </c>
      <c r="J10">
        <v>1250</v>
      </c>
      <c r="N10">
        <v>0.7</v>
      </c>
      <c r="O10">
        <v>6.0000000000000053</v>
      </c>
      <c r="P10">
        <v>8.0000000000000071</v>
      </c>
      <c r="Q10">
        <v>11.000000000000011</v>
      </c>
      <c r="R10">
        <v>14.999999999999902</v>
      </c>
      <c r="S10">
        <v>20.999999999999908</v>
      </c>
      <c r="T10">
        <v>29.999999999999915</v>
      </c>
      <c r="U10">
        <v>40.999999999999929</v>
      </c>
    </row>
    <row r="11" spans="1:24" x14ac:dyDescent="0.25">
      <c r="A11">
        <v>8</v>
      </c>
      <c r="B11">
        <v>1480.0000000000005</v>
      </c>
      <c r="C11">
        <v>1700.0000000000002</v>
      </c>
      <c r="D11">
        <v>1950.0000000000002</v>
      </c>
      <c r="E11">
        <v>2210</v>
      </c>
      <c r="F11">
        <v>2500</v>
      </c>
      <c r="G11">
        <v>2809.9999999999995</v>
      </c>
      <c r="H11">
        <v>3130</v>
      </c>
      <c r="I11">
        <v>3460</v>
      </c>
      <c r="J11">
        <v>3809.9999999999995</v>
      </c>
      <c r="N11">
        <v>1</v>
      </c>
      <c r="O11">
        <v>12.000000000000011</v>
      </c>
      <c r="P11">
        <v>17.000000000000014</v>
      </c>
      <c r="Q11">
        <v>23.000000000000021</v>
      </c>
      <c r="R11">
        <v>33.000000000000028</v>
      </c>
      <c r="S11">
        <v>46.000000000000043</v>
      </c>
      <c r="T11">
        <v>62.999999999999943</v>
      </c>
      <c r="U11">
        <v>86.999999999999972</v>
      </c>
    </row>
    <row r="12" spans="1:24" x14ac:dyDescent="0.25">
      <c r="A12">
        <v>15</v>
      </c>
      <c r="B12">
        <v>4490</v>
      </c>
      <c r="C12">
        <v>5050.0000000000009</v>
      </c>
      <c r="D12">
        <v>5650</v>
      </c>
      <c r="E12">
        <v>6270</v>
      </c>
      <c r="F12">
        <v>6910</v>
      </c>
      <c r="G12">
        <v>7560</v>
      </c>
      <c r="H12">
        <v>8200</v>
      </c>
      <c r="I12">
        <v>8840</v>
      </c>
      <c r="J12">
        <v>9450</v>
      </c>
      <c r="N12">
        <v>2</v>
      </c>
      <c r="O12">
        <v>50.999999999999936</v>
      </c>
      <c r="P12">
        <v>68.999999999999943</v>
      </c>
      <c r="Q12">
        <v>96.999999999999972</v>
      </c>
      <c r="R12">
        <v>133.99999999999989</v>
      </c>
      <c r="S12">
        <v>183.99999999999994</v>
      </c>
      <c r="T12">
        <v>250</v>
      </c>
      <c r="U12">
        <v>336.00000000000006</v>
      </c>
    </row>
    <row r="13" spans="1:24" x14ac:dyDescent="0.25">
      <c r="A13">
        <v>30</v>
      </c>
      <c r="B13">
        <v>13829.999999999998</v>
      </c>
      <c r="C13">
        <v>15120</v>
      </c>
      <c r="D13">
        <v>16420</v>
      </c>
      <c r="E13">
        <v>17689.999999999996</v>
      </c>
      <c r="F13">
        <v>18920</v>
      </c>
      <c r="G13">
        <v>20100</v>
      </c>
      <c r="H13">
        <v>21210</v>
      </c>
      <c r="I13">
        <v>22250</v>
      </c>
      <c r="J13">
        <v>23200</v>
      </c>
      <c r="N13">
        <v>3</v>
      </c>
      <c r="O13">
        <v>113.99999999999989</v>
      </c>
      <c r="P13">
        <v>156.00000000000014</v>
      </c>
      <c r="Q13">
        <v>216.0000000000002</v>
      </c>
      <c r="R13">
        <v>297.00000000000017</v>
      </c>
      <c r="S13">
        <v>403</v>
      </c>
      <c r="T13">
        <v>537.99999999999977</v>
      </c>
      <c r="U13">
        <v>706.99999999999989</v>
      </c>
    </row>
    <row r="14" spans="1:24" x14ac:dyDescent="0.25">
      <c r="N14">
        <v>5</v>
      </c>
      <c r="O14">
        <v>314.00000000000006</v>
      </c>
      <c r="P14">
        <v>426.00000000000017</v>
      </c>
      <c r="Q14">
        <v>581.00000000000045</v>
      </c>
      <c r="R14">
        <v>783.00000000000034</v>
      </c>
      <c r="S14">
        <v>1039.0000000000002</v>
      </c>
      <c r="T14">
        <v>1350</v>
      </c>
      <c r="U14">
        <v>1714</v>
      </c>
    </row>
    <row r="15" spans="1:24" x14ac:dyDescent="0.25">
      <c r="A15" s="15" t="s">
        <v>72</v>
      </c>
    </row>
    <row r="16" spans="1:24" x14ac:dyDescent="0.25">
      <c r="B16" t="s">
        <v>61</v>
      </c>
      <c r="C16" t="s">
        <v>62</v>
      </c>
      <c r="D16" t="s">
        <v>63</v>
      </c>
      <c r="E16" t="s">
        <v>64</v>
      </c>
      <c r="F16" t="s">
        <v>65</v>
      </c>
      <c r="G16" t="s">
        <v>66</v>
      </c>
      <c r="H16" t="s">
        <v>67</v>
      </c>
      <c r="I16" t="s">
        <v>68</v>
      </c>
      <c r="J16" t="s">
        <v>69</v>
      </c>
      <c r="N16" s="15" t="s">
        <v>80</v>
      </c>
    </row>
    <row r="17" spans="1:21" x14ac:dyDescent="0.25">
      <c r="A17" t="s">
        <v>25</v>
      </c>
      <c r="O17">
        <v>2.8</v>
      </c>
      <c r="P17">
        <v>4</v>
      </c>
      <c r="Q17">
        <v>5.6</v>
      </c>
      <c r="R17">
        <v>8</v>
      </c>
      <c r="S17">
        <v>11</v>
      </c>
      <c r="T17">
        <v>16</v>
      </c>
      <c r="U17">
        <v>22</v>
      </c>
    </row>
    <row r="18" spans="1:21" x14ac:dyDescent="0.25">
      <c r="A18">
        <v>0.25</v>
      </c>
      <c r="B18" s="14">
        <v>1.7871326449563074</v>
      </c>
      <c r="C18" s="14">
        <v>2.0825069416897932</v>
      </c>
      <c r="D18" s="14">
        <v>2.5242526232429343</v>
      </c>
      <c r="E18" s="14">
        <v>2.9644268774703662</v>
      </c>
      <c r="F18" s="14">
        <v>3.5488958990536332</v>
      </c>
      <c r="G18" s="14">
        <v>4.1306058221872446</v>
      </c>
      <c r="H18" s="14">
        <v>4.8538929201804306</v>
      </c>
      <c r="I18" s="14">
        <v>5.859375</v>
      </c>
      <c r="J18" s="14">
        <v>6.9984447900466593</v>
      </c>
      <c r="N18" t="s">
        <v>25</v>
      </c>
    </row>
    <row r="19" spans="1:21" x14ac:dyDescent="0.25">
      <c r="A19">
        <v>0.5</v>
      </c>
      <c r="B19" s="14">
        <v>7.0977917981072665</v>
      </c>
      <c r="C19" s="14">
        <v>8.2612116443744892</v>
      </c>
      <c r="D19" s="14">
        <v>9.996079968639771</v>
      </c>
      <c r="E19" s="14">
        <v>11.71875</v>
      </c>
      <c r="F19" s="14">
        <v>13.996889580093319</v>
      </c>
      <c r="G19" s="14">
        <v>16.25386996904027</v>
      </c>
      <c r="H19" s="14">
        <v>19.045786841092706</v>
      </c>
      <c r="I19" s="14">
        <v>22.900763358778608</v>
      </c>
      <c r="J19" s="14">
        <v>27.231467473524951</v>
      </c>
      <c r="N19">
        <v>0.3</v>
      </c>
      <c r="O19" s="14">
        <v>1.0463378176382432</v>
      </c>
      <c r="P19" s="14">
        <v>1.4925373134327957</v>
      </c>
      <c r="Q19" s="14">
        <v>2.0854021847070414</v>
      </c>
      <c r="R19" s="14">
        <v>2.9702970297029729</v>
      </c>
      <c r="S19" s="14">
        <v>4.0690505548705014</v>
      </c>
      <c r="T19" s="14">
        <v>5.8823529411764497</v>
      </c>
      <c r="U19" s="14">
        <v>8.0291970802919828</v>
      </c>
    </row>
    <row r="20" spans="1:21" x14ac:dyDescent="0.25">
      <c r="A20">
        <v>1</v>
      </c>
      <c r="B20" s="14">
        <v>27.993779160186637</v>
      </c>
      <c r="C20" s="14">
        <v>32.50773993808054</v>
      </c>
      <c r="D20" s="14">
        <v>39.200614911606422</v>
      </c>
      <c r="E20" s="14">
        <v>45.801526717557216</v>
      </c>
      <c r="F20" s="14">
        <v>54.462934947049902</v>
      </c>
      <c r="G20" s="14">
        <v>62.968515742128915</v>
      </c>
      <c r="H20" s="14">
        <v>73.387694588584068</v>
      </c>
      <c r="I20" s="14">
        <v>87.591240875912419</v>
      </c>
      <c r="J20" s="14">
        <v>103.29985652797701</v>
      </c>
      <c r="N20">
        <v>0.4</v>
      </c>
      <c r="O20" s="14">
        <v>1.8579960185799993</v>
      </c>
      <c r="P20" s="14">
        <v>2.6490066225165476</v>
      </c>
      <c r="Q20" s="14">
        <v>3.6988110964332743</v>
      </c>
      <c r="R20" s="14">
        <v>5.2631578947368585</v>
      </c>
      <c r="S20" s="14">
        <v>7.2013093289688968</v>
      </c>
      <c r="T20" s="14">
        <v>10.389610389610393</v>
      </c>
      <c r="U20" s="14">
        <v>14.147909967845706</v>
      </c>
    </row>
    <row r="21" spans="1:21" x14ac:dyDescent="0.25">
      <c r="A21">
        <v>2</v>
      </c>
      <c r="B21" s="14">
        <v>108.9258698940998</v>
      </c>
      <c r="C21" s="14">
        <v>125.93703148425783</v>
      </c>
      <c r="D21" s="14">
        <v>150.88757396449702</v>
      </c>
      <c r="E21" s="14">
        <v>175.18248175182484</v>
      </c>
      <c r="F21" s="14">
        <v>206.59971305595403</v>
      </c>
      <c r="G21" s="14">
        <v>236.95345557122715</v>
      </c>
      <c r="H21" s="14">
        <v>273.48066298342542</v>
      </c>
      <c r="I21" s="14">
        <v>322.14765100671138</v>
      </c>
      <c r="J21" s="14">
        <v>374.5123537061117</v>
      </c>
      <c r="N21">
        <v>0.5</v>
      </c>
      <c r="O21" s="14">
        <v>2.8997514498756982</v>
      </c>
      <c r="P21" s="14">
        <v>4.1322314049586639</v>
      </c>
      <c r="Q21" s="14">
        <v>5.7660626029654161</v>
      </c>
      <c r="R21" s="14">
        <v>8.196721311475418</v>
      </c>
      <c r="S21" s="14">
        <v>11.201629327902252</v>
      </c>
      <c r="T21" s="14">
        <v>16.129032258064502</v>
      </c>
      <c r="U21" s="14">
        <v>21.912350597609542</v>
      </c>
    </row>
    <row r="22" spans="1:21" x14ac:dyDescent="0.25">
      <c r="A22">
        <v>4</v>
      </c>
      <c r="B22" s="14">
        <v>413.19942611190805</v>
      </c>
      <c r="C22" s="14">
        <v>473.90691114245431</v>
      </c>
      <c r="D22" s="14">
        <v>561.21045392022006</v>
      </c>
      <c r="E22" s="14">
        <v>644.29530201342277</v>
      </c>
      <c r="F22" s="14">
        <v>749.02470741222339</v>
      </c>
      <c r="G22" s="14">
        <v>847.41488020176541</v>
      </c>
      <c r="H22" s="14">
        <v>962.33292831105689</v>
      </c>
      <c r="I22" s="14">
        <v>1109.8265895953757</v>
      </c>
      <c r="J22" s="14">
        <v>1261.774370208105</v>
      </c>
      <c r="N22">
        <v>0.7</v>
      </c>
      <c r="O22" s="14">
        <v>5.6703587369814068</v>
      </c>
      <c r="P22" s="14">
        <v>8.0724876441515825</v>
      </c>
      <c r="Q22" s="14">
        <v>11.249590029517975</v>
      </c>
      <c r="R22" s="14">
        <v>15.960912052117248</v>
      </c>
      <c r="S22" s="14">
        <v>21.760193782801807</v>
      </c>
      <c r="T22" s="14">
        <v>31.210191082802432</v>
      </c>
      <c r="U22" s="14">
        <v>42.208300704776768</v>
      </c>
    </row>
    <row r="23" spans="1:21" x14ac:dyDescent="0.25">
      <c r="A23">
        <v>8</v>
      </c>
      <c r="B23" s="14">
        <v>1498.0494148244468</v>
      </c>
      <c r="C23" s="14">
        <v>1694.8297604035308</v>
      </c>
      <c r="D23" s="14">
        <v>1968.6369119420988</v>
      </c>
      <c r="E23" s="14">
        <v>2219.6531791907514</v>
      </c>
      <c r="F23" s="14">
        <v>2523.54874041621</v>
      </c>
      <c r="G23" s="14">
        <v>2797.0863683662851</v>
      </c>
      <c r="H23" s="14">
        <v>3102.8403525954936</v>
      </c>
      <c r="I23" s="14">
        <v>3475.1131221719456</v>
      </c>
      <c r="J23" s="14">
        <v>3836.8026644462939</v>
      </c>
      <c r="N23">
        <v>1</v>
      </c>
      <c r="O23" s="14">
        <v>11.532125205930832</v>
      </c>
      <c r="P23" s="14">
        <v>16.393442622950836</v>
      </c>
      <c r="Q23" s="14">
        <v>22.801302931596101</v>
      </c>
      <c r="R23" s="14">
        <v>32.258064516129004</v>
      </c>
      <c r="S23" s="14">
        <v>43.824701195219085</v>
      </c>
      <c r="T23" s="14">
        <v>62.5</v>
      </c>
      <c r="U23" s="14">
        <v>83.969465648854992</v>
      </c>
    </row>
    <row r="24" spans="1:21" x14ac:dyDescent="0.25">
      <c r="A24">
        <v>15</v>
      </c>
      <c r="B24" s="14">
        <v>4525.1396648044665</v>
      </c>
      <c r="C24" s="14">
        <v>5026.5957446808507</v>
      </c>
      <c r="D24" s="14">
        <v>5694.789081885855</v>
      </c>
      <c r="E24" s="14">
        <v>6279.0697674418589</v>
      </c>
      <c r="F24" s="14">
        <v>6952.7896995708143</v>
      </c>
      <c r="G24" s="14">
        <v>7529.880478087649</v>
      </c>
      <c r="H24" s="14">
        <v>8144.4241316270545</v>
      </c>
      <c r="I24" s="14">
        <v>8852.4590163934427</v>
      </c>
      <c r="J24" s="14">
        <v>9501.4662756598227</v>
      </c>
      <c r="N24">
        <v>2</v>
      </c>
      <c r="O24" s="14">
        <v>45.602605863192203</v>
      </c>
      <c r="P24" s="14">
        <v>64.516129032258007</v>
      </c>
      <c r="Q24" s="14">
        <v>89.17197452229297</v>
      </c>
      <c r="R24" s="14">
        <v>125</v>
      </c>
      <c r="S24" s="14">
        <v>167.93893129770998</v>
      </c>
      <c r="T24" s="14">
        <v>235.29411764705887</v>
      </c>
      <c r="U24" s="14">
        <v>309.85915492957747</v>
      </c>
    </row>
    <row r="25" spans="1:21" x14ac:dyDescent="0.25">
      <c r="A25">
        <v>30</v>
      </c>
      <c r="B25" s="14">
        <v>13905.579399141629</v>
      </c>
      <c r="C25" s="14">
        <v>15059.760956175298</v>
      </c>
      <c r="D25" s="14">
        <v>16510.791366906473</v>
      </c>
      <c r="E25" s="14">
        <v>17704.918032786885</v>
      </c>
      <c r="F25" s="14">
        <v>19002.932551319645</v>
      </c>
      <c r="G25" s="14">
        <v>20053.050397877982</v>
      </c>
      <c r="H25" s="14">
        <v>21113.744075829381</v>
      </c>
      <c r="I25" s="14">
        <v>22268.041237113401</v>
      </c>
      <c r="J25" s="14">
        <v>23267.504488330338</v>
      </c>
      <c r="N25">
        <v>3</v>
      </c>
      <c r="O25" s="14">
        <v>101.44927536231884</v>
      </c>
      <c r="P25" s="14">
        <v>142.8571428571428</v>
      </c>
      <c r="Q25" s="14">
        <v>196.26168224299079</v>
      </c>
      <c r="R25" s="14">
        <v>272.72727272727292</v>
      </c>
      <c r="S25" s="14">
        <v>362.63736263736268</v>
      </c>
      <c r="T25" s="14">
        <v>500</v>
      </c>
      <c r="U25" s="14">
        <v>647.05882352941171</v>
      </c>
    </row>
    <row r="26" spans="1:21" x14ac:dyDescent="0.25">
      <c r="N26">
        <v>5</v>
      </c>
      <c r="O26" s="14">
        <v>275.59055118110274</v>
      </c>
      <c r="P26" s="14">
        <v>384.61538461538504</v>
      </c>
      <c r="Q26" s="14">
        <v>522.38805970149292</v>
      </c>
      <c r="R26" s="14">
        <v>714.28571428571445</v>
      </c>
      <c r="S26" s="14">
        <v>932.20338983050863</v>
      </c>
      <c r="T26" s="14">
        <v>1250</v>
      </c>
      <c r="U26" s="14">
        <v>1571.4285714285716</v>
      </c>
    </row>
    <row r="27" spans="1:21" x14ac:dyDescent="0.25">
      <c r="A27" s="15" t="s">
        <v>71</v>
      </c>
      <c r="N27" s="15" t="s">
        <v>71</v>
      </c>
    </row>
    <row r="28" spans="1:21" x14ac:dyDescent="0.25">
      <c r="B28" t="s">
        <v>61</v>
      </c>
      <c r="C28" t="s">
        <v>62</v>
      </c>
      <c r="D28" t="s">
        <v>63</v>
      </c>
      <c r="E28" t="s">
        <v>64</v>
      </c>
      <c r="F28" t="s">
        <v>65</v>
      </c>
      <c r="G28" t="s">
        <v>66</v>
      </c>
      <c r="H28" t="s">
        <v>67</v>
      </c>
      <c r="I28" t="s">
        <v>68</v>
      </c>
      <c r="J28" t="s">
        <v>69</v>
      </c>
      <c r="O28">
        <v>2.8</v>
      </c>
      <c r="P28">
        <v>4</v>
      </c>
      <c r="Q28">
        <v>5.6</v>
      </c>
      <c r="R28">
        <v>8</v>
      </c>
      <c r="S28">
        <v>11</v>
      </c>
      <c r="T28">
        <v>16</v>
      </c>
      <c r="U28">
        <v>22</v>
      </c>
    </row>
    <row r="29" spans="1:21" x14ac:dyDescent="0.25">
      <c r="A29" t="s">
        <v>25</v>
      </c>
      <c r="N29" t="s">
        <v>25</v>
      </c>
    </row>
    <row r="30" spans="1:21" x14ac:dyDescent="0.25">
      <c r="A30">
        <v>0.25</v>
      </c>
      <c r="B30" s="14">
        <f t="shared" ref="B30:J30" si="0">B18-B6</f>
        <v>1.7871326449563074</v>
      </c>
      <c r="C30" s="14">
        <f t="shared" si="0"/>
        <v>2.0825069416897932</v>
      </c>
      <c r="D30" s="14">
        <f t="shared" si="0"/>
        <v>2.5242526232429343</v>
      </c>
      <c r="E30" s="14">
        <f t="shared" si="0"/>
        <v>2.9644268774703662</v>
      </c>
      <c r="F30" s="14">
        <f t="shared" si="0"/>
        <v>3.5488958990536332</v>
      </c>
      <c r="G30" s="14">
        <f t="shared" si="0"/>
        <v>4.1306058221872446</v>
      </c>
      <c r="H30" s="14">
        <f t="shared" si="0"/>
        <v>4.8538929201804306</v>
      </c>
      <c r="I30" s="14">
        <f t="shared" si="0"/>
        <v>-4.1406250000000089</v>
      </c>
      <c r="J30" s="14">
        <f t="shared" si="0"/>
        <v>-3.0015552099533496</v>
      </c>
      <c r="N30">
        <v>0.3</v>
      </c>
      <c r="O30" s="14">
        <f t="shared" ref="O30:U37" si="1">O19-O7</f>
        <v>4.6337817638242296E-2</v>
      </c>
      <c r="P30" s="14">
        <f t="shared" si="1"/>
        <v>0.49253731343279483</v>
      </c>
      <c r="Q30" s="14">
        <f t="shared" si="1"/>
        <v>1.0854021847070405</v>
      </c>
      <c r="R30" s="14">
        <f t="shared" si="1"/>
        <v>0.97029702970297116</v>
      </c>
      <c r="S30" s="14">
        <f t="shared" si="1"/>
        <v>1.0690505548704987</v>
      </c>
      <c r="T30" s="14">
        <f t="shared" si="1"/>
        <v>1.8823529411764461</v>
      </c>
      <c r="U30" s="14">
        <f t="shared" si="1"/>
        <v>2.0291970802919774</v>
      </c>
    </row>
    <row r="31" spans="1:21" x14ac:dyDescent="0.25">
      <c r="A31">
        <v>0.5</v>
      </c>
      <c r="B31" s="14">
        <f t="shared" ref="B31:J31" si="2">B19-B7</f>
        <v>-2.9022082018927424</v>
      </c>
      <c r="C31" s="14">
        <f t="shared" si="2"/>
        <v>-1.7387883556255197</v>
      </c>
      <c r="D31" s="14">
        <f t="shared" si="2"/>
        <v>-3.9200313602378856E-3</v>
      </c>
      <c r="E31" s="14">
        <f t="shared" si="2"/>
        <v>1.7187499999999911</v>
      </c>
      <c r="F31" s="14">
        <f t="shared" si="2"/>
        <v>3.9968895800933097</v>
      </c>
      <c r="G31" s="14">
        <f t="shared" si="2"/>
        <v>-3.7461300309597476</v>
      </c>
      <c r="H31" s="14">
        <f t="shared" si="2"/>
        <v>-0.95421315890731151</v>
      </c>
      <c r="I31" s="14">
        <f t="shared" si="2"/>
        <v>2.9007633587785904</v>
      </c>
      <c r="J31" s="14">
        <f t="shared" si="2"/>
        <v>-2.7685325264750773</v>
      </c>
      <c r="N31">
        <v>0.4</v>
      </c>
      <c r="O31" s="14">
        <f t="shared" si="1"/>
        <v>-0.14200398142000248</v>
      </c>
      <c r="P31" s="14">
        <f t="shared" si="1"/>
        <v>0.64900662251654584</v>
      </c>
      <c r="Q31" s="14">
        <f t="shared" si="1"/>
        <v>0.69881109643327166</v>
      </c>
      <c r="R31" s="14">
        <f t="shared" si="1"/>
        <v>1.2631578947368549</v>
      </c>
      <c r="S31" s="14">
        <f t="shared" si="1"/>
        <v>1.2013093289688914</v>
      </c>
      <c r="T31" s="14">
        <f t="shared" si="1"/>
        <v>2.389610389610386</v>
      </c>
      <c r="U31" s="14">
        <f t="shared" si="1"/>
        <v>2.1479099678456954</v>
      </c>
    </row>
    <row r="32" spans="1:21" x14ac:dyDescent="0.25">
      <c r="A32">
        <v>1</v>
      </c>
      <c r="B32" s="14">
        <f t="shared" ref="B32:J32" si="3">B20-B8</f>
        <v>-2.0062208398133912</v>
      </c>
      <c r="C32" s="14">
        <f t="shared" si="3"/>
        <v>2.5077399380805119</v>
      </c>
      <c r="D32" s="14">
        <f t="shared" si="3"/>
        <v>-0.79938508839361333</v>
      </c>
      <c r="E32" s="14">
        <f t="shared" si="3"/>
        <v>5.8015267175571807</v>
      </c>
      <c r="F32" s="14">
        <f t="shared" si="3"/>
        <v>4.4629349470498596</v>
      </c>
      <c r="G32" s="14">
        <f t="shared" si="3"/>
        <v>2.9685157421288579</v>
      </c>
      <c r="H32" s="14">
        <f t="shared" si="3"/>
        <v>3.387694588584111</v>
      </c>
      <c r="I32" s="14">
        <f t="shared" si="3"/>
        <v>-2.4087591240875526</v>
      </c>
      <c r="J32" s="14">
        <f t="shared" si="3"/>
        <v>3.2998565279770418</v>
      </c>
      <c r="N32">
        <v>0.5</v>
      </c>
      <c r="O32" s="14">
        <f t="shared" si="1"/>
        <v>-0.10024855012430445</v>
      </c>
      <c r="P32" s="14">
        <f t="shared" si="1"/>
        <v>0.13223140495866037</v>
      </c>
      <c r="Q32" s="14">
        <f t="shared" si="1"/>
        <v>0.76606260296541162</v>
      </c>
      <c r="R32" s="14">
        <f t="shared" si="1"/>
        <v>1.1967213114754118</v>
      </c>
      <c r="S32" s="14">
        <f t="shared" si="1"/>
        <v>1.2016293279022427</v>
      </c>
      <c r="T32" s="14">
        <f t="shared" si="1"/>
        <v>2.1290322580644894</v>
      </c>
      <c r="U32" s="14">
        <f t="shared" si="1"/>
        <v>1.9123505976095245</v>
      </c>
    </row>
    <row r="33" spans="1:21" x14ac:dyDescent="0.25">
      <c r="A33">
        <v>2</v>
      </c>
      <c r="B33" s="14">
        <f t="shared" ref="B33:J33" si="4">B21-B9</f>
        <v>-1.074130105900295</v>
      </c>
      <c r="C33" s="14">
        <f t="shared" si="4"/>
        <v>-4.0629685157420568</v>
      </c>
      <c r="D33" s="14">
        <f t="shared" si="4"/>
        <v>0.88757396449710768</v>
      </c>
      <c r="E33" s="14">
        <f t="shared" si="4"/>
        <v>5.1824817518248949</v>
      </c>
      <c r="F33" s="14">
        <f t="shared" si="4"/>
        <v>6.5997130559540835</v>
      </c>
      <c r="G33" s="14">
        <f t="shared" si="4"/>
        <v>-3.0465444287728474</v>
      </c>
      <c r="H33" s="14">
        <f t="shared" si="4"/>
        <v>3.4806629834254181</v>
      </c>
      <c r="I33" s="14">
        <f t="shared" si="4"/>
        <v>2.1476510067113281</v>
      </c>
      <c r="J33" s="14">
        <f t="shared" si="4"/>
        <v>4.5123537061115826</v>
      </c>
      <c r="N33">
        <v>0.7</v>
      </c>
      <c r="O33" s="14">
        <f t="shared" si="1"/>
        <v>-0.32964126301859853</v>
      </c>
      <c r="P33" s="14">
        <f t="shared" si="1"/>
        <v>7.2487644151575381E-2</v>
      </c>
      <c r="Q33" s="14">
        <f t="shared" si="1"/>
        <v>0.2495900295179645</v>
      </c>
      <c r="R33" s="14">
        <f t="shared" si="1"/>
        <v>0.96091205211734554</v>
      </c>
      <c r="S33" s="14">
        <f t="shared" si="1"/>
        <v>0.76019378280189898</v>
      </c>
      <c r="T33" s="14">
        <f t="shared" si="1"/>
        <v>1.2101910828025169</v>
      </c>
      <c r="U33" s="14">
        <f t="shared" si="1"/>
        <v>1.208300704776839</v>
      </c>
    </row>
    <row r="34" spans="1:21" x14ac:dyDescent="0.25">
      <c r="A34">
        <v>4</v>
      </c>
      <c r="B34" s="14">
        <f t="shared" ref="B34:J34" si="5">B22-B10</f>
        <v>3.1994261119079397</v>
      </c>
      <c r="C34" s="14">
        <f t="shared" si="5"/>
        <v>-6.0930888575456947</v>
      </c>
      <c r="D34" s="14">
        <f t="shared" si="5"/>
        <v>11.210453920220289</v>
      </c>
      <c r="E34" s="14">
        <f t="shared" si="5"/>
        <v>4.2953020134226563</v>
      </c>
      <c r="F34" s="14">
        <f t="shared" si="5"/>
        <v>9.0247074122231652</v>
      </c>
      <c r="G34" s="14">
        <f t="shared" si="5"/>
        <v>-2.5851197982347003</v>
      </c>
      <c r="H34" s="14">
        <f t="shared" si="5"/>
        <v>-7.6670716889433379</v>
      </c>
      <c r="I34" s="14">
        <f t="shared" si="5"/>
        <v>9.8265895953757081</v>
      </c>
      <c r="J34" s="14">
        <f t="shared" si="5"/>
        <v>11.774370208104983</v>
      </c>
      <c r="N34">
        <v>1</v>
      </c>
      <c r="O34" s="14">
        <f t="shared" si="1"/>
        <v>-0.46787479406917853</v>
      </c>
      <c r="P34" s="14">
        <f t="shared" si="1"/>
        <v>-0.60655737704917811</v>
      </c>
      <c r="Q34" s="14">
        <f t="shared" si="1"/>
        <v>-0.19869706840391999</v>
      </c>
      <c r="R34" s="14">
        <f t="shared" si="1"/>
        <v>-0.74193548387102481</v>
      </c>
      <c r="S34" s="14">
        <f t="shared" si="1"/>
        <v>-2.1752988047809581</v>
      </c>
      <c r="T34" s="14">
        <f t="shared" si="1"/>
        <v>-0.49999999999994316</v>
      </c>
      <c r="U34" s="14">
        <f t="shared" si="1"/>
        <v>-3.0305343511449792</v>
      </c>
    </row>
    <row r="35" spans="1:21" x14ac:dyDescent="0.25">
      <c r="A35">
        <v>8</v>
      </c>
      <c r="B35" s="14">
        <f t="shared" ref="B35:J35" si="6">B23-B11</f>
        <v>18.04941482444633</v>
      </c>
      <c r="C35" s="14">
        <f t="shared" si="6"/>
        <v>-5.1702395964694006</v>
      </c>
      <c r="D35" s="14">
        <f t="shared" si="6"/>
        <v>18.63691194209855</v>
      </c>
      <c r="E35" s="14">
        <f t="shared" si="6"/>
        <v>9.6531791907514162</v>
      </c>
      <c r="F35" s="14">
        <f t="shared" si="6"/>
        <v>23.548740416209966</v>
      </c>
      <c r="G35" s="14">
        <f t="shared" si="6"/>
        <v>-12.913631633714431</v>
      </c>
      <c r="H35" s="14">
        <f t="shared" si="6"/>
        <v>-27.159647404506359</v>
      </c>
      <c r="I35" s="14">
        <f t="shared" si="6"/>
        <v>15.113122171945633</v>
      </c>
      <c r="J35" s="14">
        <f t="shared" si="6"/>
        <v>26.80266444629433</v>
      </c>
      <c r="N35">
        <v>2</v>
      </c>
      <c r="O35" s="14">
        <f t="shared" si="1"/>
        <v>-5.3973941368077334</v>
      </c>
      <c r="P35" s="14">
        <f t="shared" si="1"/>
        <v>-4.4838709677419359</v>
      </c>
      <c r="Q35" s="14">
        <f t="shared" si="1"/>
        <v>-7.8280254777070013</v>
      </c>
      <c r="R35" s="14">
        <f t="shared" si="1"/>
        <v>-8.9999999999998863</v>
      </c>
      <c r="S35" s="14">
        <f t="shared" si="1"/>
        <v>-16.061068702289958</v>
      </c>
      <c r="T35" s="14">
        <f t="shared" si="1"/>
        <v>-14.705882352941131</v>
      </c>
      <c r="U35" s="14">
        <f t="shared" si="1"/>
        <v>-26.140845070422586</v>
      </c>
    </row>
    <row r="36" spans="1:21" x14ac:dyDescent="0.25">
      <c r="A36">
        <v>15</v>
      </c>
      <c r="B36" s="14">
        <f t="shared" ref="B36:J36" si="7">B24-B12</f>
        <v>35.13966480446652</v>
      </c>
      <c r="C36" s="14">
        <f t="shared" si="7"/>
        <v>-23.404255319150252</v>
      </c>
      <c r="D36" s="14">
        <f t="shared" si="7"/>
        <v>44.789081885855012</v>
      </c>
      <c r="E36" s="14">
        <f t="shared" si="7"/>
        <v>9.0697674418588576</v>
      </c>
      <c r="F36" s="14">
        <f t="shared" si="7"/>
        <v>42.789699570814264</v>
      </c>
      <c r="G36" s="14">
        <f t="shared" si="7"/>
        <v>-30.119521912351047</v>
      </c>
      <c r="H36" s="14">
        <f t="shared" si="7"/>
        <v>-55.575868372945479</v>
      </c>
      <c r="I36" s="14">
        <f t="shared" si="7"/>
        <v>12.459016393442653</v>
      </c>
      <c r="J36" s="14">
        <f t="shared" si="7"/>
        <v>51.466275659822713</v>
      </c>
      <c r="N36">
        <v>3</v>
      </c>
      <c r="O36" s="14">
        <f t="shared" si="1"/>
        <v>-12.550724637681043</v>
      </c>
      <c r="P36" s="14">
        <f t="shared" si="1"/>
        <v>-13.142857142857338</v>
      </c>
      <c r="Q36" s="14">
        <f t="shared" si="1"/>
        <v>-19.738317757009412</v>
      </c>
      <c r="R36" s="14">
        <f t="shared" si="1"/>
        <v>-24.272727272727252</v>
      </c>
      <c r="S36" s="14">
        <f t="shared" si="1"/>
        <v>-40.362637362637315</v>
      </c>
      <c r="T36" s="14">
        <f t="shared" si="1"/>
        <v>-37.999999999999773</v>
      </c>
      <c r="U36" s="14">
        <f t="shared" si="1"/>
        <v>-59.941176470588175</v>
      </c>
    </row>
    <row r="37" spans="1:21" x14ac:dyDescent="0.25">
      <c r="A37">
        <v>30</v>
      </c>
      <c r="B37" s="14">
        <f t="shared" ref="B37:J37" si="8">B25-B13</f>
        <v>75.579399141630347</v>
      </c>
      <c r="C37" s="14">
        <f t="shared" si="8"/>
        <v>-60.239043824702094</v>
      </c>
      <c r="D37" s="14">
        <f t="shared" si="8"/>
        <v>90.791366906472831</v>
      </c>
      <c r="E37" s="14">
        <f t="shared" si="8"/>
        <v>14.918032786888944</v>
      </c>
      <c r="F37" s="14">
        <f t="shared" si="8"/>
        <v>82.932551319645427</v>
      </c>
      <c r="G37" s="14">
        <f t="shared" si="8"/>
        <v>-46.949602122018405</v>
      </c>
      <c r="H37" s="14">
        <f t="shared" si="8"/>
        <v>-96.255924170618528</v>
      </c>
      <c r="I37" s="14">
        <f t="shared" si="8"/>
        <v>18.041237113400712</v>
      </c>
      <c r="J37" s="14">
        <f t="shared" si="8"/>
        <v>67.504488330338063</v>
      </c>
      <c r="N37">
        <v>5</v>
      </c>
      <c r="O37" s="14">
        <f t="shared" si="1"/>
        <v>-38.409448818897317</v>
      </c>
      <c r="P37" s="14">
        <f t="shared" si="1"/>
        <v>-41.384615384615131</v>
      </c>
      <c r="Q37" s="14">
        <f t="shared" si="1"/>
        <v>-58.611940298507534</v>
      </c>
      <c r="R37" s="14">
        <f t="shared" si="1"/>
        <v>-68.714285714285893</v>
      </c>
      <c r="S37" s="14">
        <f t="shared" si="1"/>
        <v>-106.7966101694916</v>
      </c>
      <c r="T37" s="14">
        <f t="shared" si="1"/>
        <v>-100</v>
      </c>
      <c r="U37" s="14">
        <f t="shared" si="1"/>
        <v>-142.57142857142844</v>
      </c>
    </row>
    <row r="38" spans="1:21" x14ac:dyDescent="0.25">
      <c r="O38" s="14"/>
      <c r="P38" s="14"/>
      <c r="Q38" s="14"/>
      <c r="R38" s="14"/>
      <c r="S38" s="14"/>
      <c r="T38" s="14"/>
      <c r="U38" s="14"/>
    </row>
    <row r="39" spans="1:21" x14ac:dyDescent="0.25">
      <c r="A39" s="15" t="s">
        <v>33</v>
      </c>
      <c r="N39" s="15" t="s">
        <v>33</v>
      </c>
      <c r="O39" s="14"/>
      <c r="P39" s="14"/>
      <c r="Q39" s="14"/>
      <c r="R39" s="14"/>
      <c r="S39" s="14"/>
      <c r="T39" s="14"/>
      <c r="U39" s="14"/>
    </row>
    <row r="40" spans="1:21" x14ac:dyDescent="0.25">
      <c r="B40" t="s">
        <v>61</v>
      </c>
      <c r="C40" t="s">
        <v>62</v>
      </c>
      <c r="D40" t="s">
        <v>63</v>
      </c>
      <c r="E40" t="s">
        <v>64</v>
      </c>
      <c r="F40" t="s">
        <v>65</v>
      </c>
      <c r="G40" t="s">
        <v>66</v>
      </c>
      <c r="H40" t="s">
        <v>67</v>
      </c>
      <c r="I40" t="s">
        <v>68</v>
      </c>
      <c r="J40" t="s">
        <v>69</v>
      </c>
      <c r="O40">
        <v>2.8</v>
      </c>
      <c r="P40">
        <v>4</v>
      </c>
      <c r="Q40">
        <v>5.6</v>
      </c>
      <c r="R40">
        <v>8</v>
      </c>
      <c r="S40">
        <v>11</v>
      </c>
      <c r="T40">
        <v>16</v>
      </c>
      <c r="U40">
        <v>22</v>
      </c>
    </row>
    <row r="41" spans="1:21" x14ac:dyDescent="0.25">
      <c r="A41" t="s">
        <v>25</v>
      </c>
      <c r="N41" t="s">
        <v>25</v>
      </c>
    </row>
    <row r="42" spans="1:21" x14ac:dyDescent="0.25">
      <c r="A42">
        <v>0.25</v>
      </c>
      <c r="B42" s="4" t="str">
        <f t="shared" ref="B42:J42" si="9">IFERROR(B30/MIN(B6,B18),"")</f>
        <v/>
      </c>
      <c r="C42" s="4" t="str">
        <f t="shared" si="9"/>
        <v/>
      </c>
      <c r="D42" s="4" t="str">
        <f t="shared" si="9"/>
        <v/>
      </c>
      <c r="E42" s="4" t="str">
        <f t="shared" si="9"/>
        <v/>
      </c>
      <c r="F42" s="4" t="str">
        <f t="shared" si="9"/>
        <v/>
      </c>
      <c r="G42" s="4" t="str">
        <f t="shared" si="9"/>
        <v/>
      </c>
      <c r="H42" s="4" t="str">
        <f t="shared" si="9"/>
        <v/>
      </c>
      <c r="I42" s="4">
        <f t="shared" si="9"/>
        <v>-0.70666666666666822</v>
      </c>
      <c r="J42" s="4">
        <f t="shared" si="9"/>
        <v>-0.42888888888888954</v>
      </c>
      <c r="N42">
        <v>0.3</v>
      </c>
      <c r="O42" s="4">
        <f t="shared" ref="O42:U49" si="10">IFERROR(O30/MIN(O7,O19),"")</f>
        <v>4.6337817638242254E-2</v>
      </c>
      <c r="P42" s="4">
        <f t="shared" si="10"/>
        <v>0.49253731343279439</v>
      </c>
      <c r="Q42" s="4">
        <f t="shared" si="10"/>
        <v>1.0854021847070396</v>
      </c>
      <c r="R42" s="4">
        <f t="shared" si="10"/>
        <v>0.48514851485148514</v>
      </c>
      <c r="S42" s="4">
        <f t="shared" si="10"/>
        <v>0.35635018495683257</v>
      </c>
      <c r="T42" s="4">
        <f t="shared" si="10"/>
        <v>0.47058823529411109</v>
      </c>
      <c r="U42" s="4">
        <f t="shared" si="10"/>
        <v>0.33819951338199594</v>
      </c>
    </row>
    <row r="43" spans="1:21" x14ac:dyDescent="0.25">
      <c r="A43">
        <v>0.5</v>
      </c>
      <c r="B43" s="4">
        <f t="shared" ref="B43:J43" si="11">IFERROR(B31/MIN(B7,B19),"")</f>
        <v>-0.40888888888888797</v>
      </c>
      <c r="C43" s="4">
        <f t="shared" si="11"/>
        <v>-0.21047619047619434</v>
      </c>
      <c r="D43" s="4">
        <f t="shared" si="11"/>
        <v>-3.9215686274379703E-4</v>
      </c>
      <c r="E43" s="4">
        <f t="shared" si="11"/>
        <v>0.17187499999999897</v>
      </c>
      <c r="F43" s="4">
        <f t="shared" si="11"/>
        <v>0.39968895800933063</v>
      </c>
      <c r="G43" s="4">
        <f t="shared" si="11"/>
        <v>-0.23047619047618986</v>
      </c>
      <c r="H43" s="4">
        <f t="shared" si="11"/>
        <v>-5.0101010101012228E-2</v>
      </c>
      <c r="I43" s="4">
        <f t="shared" si="11"/>
        <v>0.1450381679389294</v>
      </c>
      <c r="J43" s="4">
        <f t="shared" si="11"/>
        <v>-0.10166666666666815</v>
      </c>
      <c r="N43">
        <v>0.4</v>
      </c>
      <c r="O43" s="4">
        <f t="shared" si="10"/>
        <v>-7.6428571428549724E-2</v>
      </c>
      <c r="P43" s="4">
        <f t="shared" si="10"/>
        <v>0.32450331125827264</v>
      </c>
      <c r="Q43" s="4">
        <f t="shared" si="10"/>
        <v>0.23293703214442368</v>
      </c>
      <c r="R43" s="4">
        <f t="shared" si="10"/>
        <v>0.31578947368421345</v>
      </c>
      <c r="S43" s="4">
        <f t="shared" si="10"/>
        <v>0.20021822149481505</v>
      </c>
      <c r="T43" s="4">
        <f t="shared" si="10"/>
        <v>0.29870129870129797</v>
      </c>
      <c r="U43" s="4">
        <f t="shared" si="10"/>
        <v>0.17899249732047445</v>
      </c>
    </row>
    <row r="44" spans="1:21" x14ac:dyDescent="0.25">
      <c r="A44">
        <v>1</v>
      </c>
      <c r="B44" s="4">
        <f t="shared" ref="B44:J44" si="12">IFERROR(B32/MIN(B8,B20),"")</f>
        <v>-7.1666666666667225E-2</v>
      </c>
      <c r="C44" s="4">
        <f t="shared" si="12"/>
        <v>8.3591331269350311E-2</v>
      </c>
      <c r="D44" s="4">
        <f t="shared" si="12"/>
        <v>-2.03921568627469E-2</v>
      </c>
      <c r="E44" s="4">
        <f t="shared" si="12"/>
        <v>0.1450381679389294</v>
      </c>
      <c r="F44" s="4">
        <f t="shared" si="12"/>
        <v>8.9258698940997111E-2</v>
      </c>
      <c r="G44" s="4">
        <f t="shared" si="12"/>
        <v>4.9475262368814249E-2</v>
      </c>
      <c r="H44" s="4">
        <f t="shared" si="12"/>
        <v>4.8395636979773046E-2</v>
      </c>
      <c r="I44" s="4">
        <f t="shared" si="12"/>
        <v>-2.7499999999999556E-2</v>
      </c>
      <c r="J44" s="4">
        <f t="shared" si="12"/>
        <v>3.299856527977043E-2</v>
      </c>
      <c r="N44">
        <v>0.5</v>
      </c>
      <c r="O44" s="4">
        <f t="shared" si="10"/>
        <v>-3.4571428571439022E-2</v>
      </c>
      <c r="P44" s="4">
        <f t="shared" si="10"/>
        <v>3.3057851239665065E-2</v>
      </c>
      <c r="Q44" s="4">
        <f t="shared" si="10"/>
        <v>0.15321252059308219</v>
      </c>
      <c r="R44" s="4">
        <f t="shared" si="10"/>
        <v>0.17096018735363011</v>
      </c>
      <c r="S44" s="4">
        <f t="shared" si="10"/>
        <v>0.12016293279022416</v>
      </c>
      <c r="T44" s="4">
        <f t="shared" si="10"/>
        <v>0.15207373271889196</v>
      </c>
      <c r="U44" s="4">
        <f t="shared" si="10"/>
        <v>9.5617529880476143E-2</v>
      </c>
    </row>
    <row r="45" spans="1:21" x14ac:dyDescent="0.25">
      <c r="A45">
        <v>2</v>
      </c>
      <c r="B45" s="4">
        <f t="shared" ref="B45:J45" si="13">IFERROR(B33/MIN(B9,B21),"")</f>
        <v>-9.861111111112434E-3</v>
      </c>
      <c r="C45" s="4">
        <f t="shared" si="13"/>
        <v>-3.22619047619042E-2</v>
      </c>
      <c r="D45" s="4">
        <f t="shared" si="13"/>
        <v>5.9171597633140543E-3</v>
      </c>
      <c r="E45" s="4">
        <f t="shared" si="13"/>
        <v>3.0485186775440567E-2</v>
      </c>
      <c r="F45" s="4">
        <f t="shared" si="13"/>
        <v>3.299856527977043E-2</v>
      </c>
      <c r="G45" s="4">
        <f t="shared" si="13"/>
        <v>-1.2857142857142548E-2</v>
      </c>
      <c r="H45" s="4">
        <f t="shared" si="13"/>
        <v>1.2891344383057104E-2</v>
      </c>
      <c r="I45" s="4">
        <f t="shared" si="13"/>
        <v>6.7114093959728992E-3</v>
      </c>
      <c r="J45" s="4">
        <f t="shared" si="13"/>
        <v>1.2195550557058328E-2</v>
      </c>
      <c r="N45">
        <v>0.7</v>
      </c>
      <c r="O45" s="4">
        <f t="shared" si="10"/>
        <v>-5.8134110787156607E-2</v>
      </c>
      <c r="P45" s="4">
        <f t="shared" si="10"/>
        <v>9.060955518946914E-3</v>
      </c>
      <c r="Q45" s="4">
        <f t="shared" si="10"/>
        <v>2.2690002683451296E-2</v>
      </c>
      <c r="R45" s="4">
        <f t="shared" si="10"/>
        <v>6.4060803474490113E-2</v>
      </c>
      <c r="S45" s="4">
        <f t="shared" si="10"/>
        <v>3.6199703942947727E-2</v>
      </c>
      <c r="T45" s="4">
        <f t="shared" si="10"/>
        <v>4.0339702760084008E-2</v>
      </c>
      <c r="U45" s="4">
        <f t="shared" si="10"/>
        <v>2.9470748896996125E-2</v>
      </c>
    </row>
    <row r="46" spans="1:21" x14ac:dyDescent="0.25">
      <c r="A46">
        <v>4</v>
      </c>
      <c r="B46" s="4">
        <f t="shared" ref="B46:J46" si="14">IFERROR(B34/MIN(B10,B22),"")</f>
        <v>7.80347832172668E-3</v>
      </c>
      <c r="C46" s="4">
        <f t="shared" si="14"/>
        <v>-1.2857142857142548E-2</v>
      </c>
      <c r="D46" s="4">
        <f t="shared" si="14"/>
        <v>2.0382643491309624E-2</v>
      </c>
      <c r="E46" s="4">
        <f t="shared" si="14"/>
        <v>6.7114093959728992E-3</v>
      </c>
      <c r="F46" s="4">
        <f t="shared" si="14"/>
        <v>1.2195550557058328E-2</v>
      </c>
      <c r="G46" s="4">
        <f t="shared" si="14"/>
        <v>-3.0505952380954129E-3</v>
      </c>
      <c r="H46" s="4">
        <f t="shared" si="14"/>
        <v>-7.9671717171721831E-3</v>
      </c>
      <c r="I46" s="4">
        <f t="shared" si="14"/>
        <v>8.9332632685233705E-3</v>
      </c>
      <c r="J46" s="4">
        <f t="shared" si="14"/>
        <v>9.4194961664839857E-3</v>
      </c>
      <c r="N46">
        <v>1</v>
      </c>
      <c r="O46" s="4">
        <f t="shared" si="10"/>
        <v>-4.0571428571427252E-2</v>
      </c>
      <c r="P46" s="4">
        <f t="shared" si="10"/>
        <v>-3.6999999999999825E-2</v>
      </c>
      <c r="Q46" s="4">
        <f t="shared" si="10"/>
        <v>-8.7142857142862018E-3</v>
      </c>
      <c r="R46" s="4">
        <f t="shared" si="10"/>
        <v>-2.300000000000179E-2</v>
      </c>
      <c r="S46" s="4">
        <f t="shared" si="10"/>
        <v>-4.9636363636365539E-2</v>
      </c>
      <c r="T46" s="4">
        <f t="shared" si="10"/>
        <v>-7.9999999999990912E-3</v>
      </c>
      <c r="U46" s="4">
        <f t="shared" si="10"/>
        <v>-3.6090909090908375E-2</v>
      </c>
    </row>
    <row r="47" spans="1:21" x14ac:dyDescent="0.25">
      <c r="A47">
        <v>8</v>
      </c>
      <c r="B47" s="4">
        <f t="shared" ref="B47:J47" si="15">IFERROR(B35/MIN(B11,B23),"")</f>
        <v>1.2195550557058328E-2</v>
      </c>
      <c r="C47" s="4">
        <f t="shared" si="15"/>
        <v>-3.0505952380954129E-3</v>
      </c>
      <c r="D47" s="4">
        <f t="shared" si="15"/>
        <v>9.5573907395377165E-3</v>
      </c>
      <c r="E47" s="4">
        <f t="shared" si="15"/>
        <v>4.3679543849553916E-3</v>
      </c>
      <c r="F47" s="4">
        <f t="shared" si="15"/>
        <v>9.4194961664839857E-3</v>
      </c>
      <c r="G47" s="4">
        <f t="shared" si="15"/>
        <v>-4.6168154761903153E-3</v>
      </c>
      <c r="H47" s="4">
        <f t="shared" si="15"/>
        <v>-8.7531565656568822E-3</v>
      </c>
      <c r="I47" s="4">
        <f t="shared" si="15"/>
        <v>4.3679543849553856E-3</v>
      </c>
      <c r="J47" s="4">
        <f t="shared" si="15"/>
        <v>7.0348200646441822E-3</v>
      </c>
      <c r="N47">
        <v>2</v>
      </c>
      <c r="O47" s="4">
        <f t="shared" si="10"/>
        <v>-0.11835714285714095</v>
      </c>
      <c r="P47" s="4">
        <f t="shared" si="10"/>
        <v>-6.9500000000000076E-2</v>
      </c>
      <c r="Q47" s="4">
        <f t="shared" si="10"/>
        <v>-8.7785714285714259E-2</v>
      </c>
      <c r="R47" s="4">
        <f t="shared" si="10"/>
        <v>-7.1999999999999093E-2</v>
      </c>
      <c r="S47" s="4">
        <f t="shared" si="10"/>
        <v>-9.5636363636362895E-2</v>
      </c>
      <c r="T47" s="4">
        <f t="shared" si="10"/>
        <v>-6.2499999999999799E-2</v>
      </c>
      <c r="U47" s="4">
        <f t="shared" si="10"/>
        <v>-8.4363636363636529E-2</v>
      </c>
    </row>
    <row r="48" spans="1:21" x14ac:dyDescent="0.25">
      <c r="A48">
        <v>15</v>
      </c>
      <c r="B48" s="4">
        <f t="shared" ref="B48:J48" si="16">IFERROR(B36/MIN(B12,B24),"")</f>
        <v>7.8262059698143704E-3</v>
      </c>
      <c r="C48" s="4">
        <f t="shared" si="16"/>
        <v>-4.6560846560849186E-3</v>
      </c>
      <c r="D48" s="4">
        <f t="shared" si="16"/>
        <v>7.9272711302398255E-3</v>
      </c>
      <c r="E48" s="4">
        <f t="shared" si="16"/>
        <v>1.4465338822741399E-3</v>
      </c>
      <c r="F48" s="4">
        <f t="shared" si="16"/>
        <v>6.1924311969340472E-3</v>
      </c>
      <c r="G48" s="4">
        <f t="shared" si="16"/>
        <v>-4.0000000000000599E-3</v>
      </c>
      <c r="H48" s="4">
        <f t="shared" si="16"/>
        <v>-6.823793490460423E-3</v>
      </c>
      <c r="I48" s="4">
        <f t="shared" si="16"/>
        <v>1.4093909947333317E-3</v>
      </c>
      <c r="J48" s="4">
        <f t="shared" si="16"/>
        <v>5.4461667364891757E-3</v>
      </c>
      <c r="N48">
        <v>3</v>
      </c>
      <c r="O48" s="4">
        <f t="shared" si="10"/>
        <v>-0.12371428571428456</v>
      </c>
      <c r="P48" s="4">
        <f t="shared" si="10"/>
        <v>-9.20000000000014E-2</v>
      </c>
      <c r="Q48" s="4">
        <f t="shared" si="10"/>
        <v>-0.10057142857142884</v>
      </c>
      <c r="R48" s="4">
        <f t="shared" si="10"/>
        <v>-8.8999999999999857E-2</v>
      </c>
      <c r="S48" s="4">
        <f t="shared" si="10"/>
        <v>-0.11130303030303015</v>
      </c>
      <c r="T48" s="4">
        <f t="shared" si="10"/>
        <v>-7.599999999999954E-2</v>
      </c>
      <c r="U48" s="4">
        <f t="shared" si="10"/>
        <v>-9.2636363636363545E-2</v>
      </c>
    </row>
    <row r="49" spans="1:22" x14ac:dyDescent="0.25">
      <c r="A49">
        <v>30</v>
      </c>
      <c r="B49" s="4">
        <f t="shared" ref="B49:J49" si="17">IFERROR(B37/MIN(B13,B25),"")</f>
        <v>5.4648878627353839E-3</v>
      </c>
      <c r="C49" s="4">
        <f t="shared" si="17"/>
        <v>-4.0000000000000599E-3</v>
      </c>
      <c r="D49" s="4">
        <f t="shared" si="17"/>
        <v>5.5293158895537656E-3</v>
      </c>
      <c r="E49" s="4">
        <f t="shared" si="17"/>
        <v>8.4330315358332087E-4</v>
      </c>
      <c r="F49" s="4">
        <f t="shared" si="17"/>
        <v>4.3833272367677289E-3</v>
      </c>
      <c r="G49" s="4">
        <f t="shared" si="17"/>
        <v>-2.3412698412699656E-3</v>
      </c>
      <c r="H49" s="4">
        <f t="shared" si="17"/>
        <v>-4.5589225589226737E-3</v>
      </c>
      <c r="I49" s="4">
        <f t="shared" si="17"/>
        <v>8.1084211745621174E-4</v>
      </c>
      <c r="J49" s="4">
        <f t="shared" si="17"/>
        <v>2.9096762211352615E-3</v>
      </c>
      <c r="K49" t="s">
        <v>83</v>
      </c>
      <c r="N49">
        <v>5</v>
      </c>
      <c r="O49" s="4">
        <f t="shared" si="10"/>
        <v>-0.13937142857142723</v>
      </c>
      <c r="P49" s="4">
        <f t="shared" si="10"/>
        <v>-0.10759999999999922</v>
      </c>
      <c r="Q49" s="4">
        <f t="shared" si="10"/>
        <v>-0.11220000000000005</v>
      </c>
      <c r="R49" s="4">
        <f t="shared" si="10"/>
        <v>-9.620000000000023E-2</v>
      </c>
      <c r="S49" s="4">
        <f t="shared" si="10"/>
        <v>-0.11456363636363642</v>
      </c>
      <c r="T49" s="4">
        <f t="shared" si="10"/>
        <v>-0.08</v>
      </c>
      <c r="U49" s="4">
        <f t="shared" si="10"/>
        <v>-9.0727272727272643E-2</v>
      </c>
      <c r="V49" t="s">
        <v>84</v>
      </c>
    </row>
    <row r="50" spans="1:22" x14ac:dyDescent="0.25">
      <c r="K50" s="55">
        <f>AVERAGE(B45:J49)</f>
        <v>3.1582637705731076E-3</v>
      </c>
      <c r="O50" s="4"/>
      <c r="P50" s="4"/>
      <c r="Q50" s="4"/>
      <c r="R50" s="4"/>
      <c r="S50" s="4"/>
      <c r="T50" s="4"/>
      <c r="U50" s="4"/>
      <c r="V50" s="55">
        <f>AVERAGE(O45:U49)</f>
        <v>-5.9295870958672177E-2</v>
      </c>
    </row>
    <row r="51" spans="1:22" x14ac:dyDescent="0.25">
      <c r="A51" s="15" t="s">
        <v>57</v>
      </c>
      <c r="N51" s="15" t="s">
        <v>57</v>
      </c>
    </row>
    <row r="52" spans="1:22" x14ac:dyDescent="0.25">
      <c r="A52" t="s">
        <v>73</v>
      </c>
      <c r="N52" t="s">
        <v>81</v>
      </c>
    </row>
    <row r="53" spans="1:22" x14ac:dyDescent="0.25">
      <c r="A53" t="s">
        <v>76</v>
      </c>
      <c r="N53" t="s">
        <v>74</v>
      </c>
    </row>
    <row r="54" spans="1:22" x14ac:dyDescent="0.25">
      <c r="A54" t="s">
        <v>74</v>
      </c>
      <c r="N54" t="s">
        <v>82</v>
      </c>
    </row>
    <row r="55" spans="1:22" x14ac:dyDescent="0.25">
      <c r="A55" t="s">
        <v>75</v>
      </c>
      <c r="N55" t="s">
        <v>87</v>
      </c>
    </row>
    <row r="56" spans="1:22" x14ac:dyDescent="0.25">
      <c r="N56"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38AF8-067B-41D2-9037-CEA67294EB10}">
  <dimension ref="A1:M51"/>
  <sheetViews>
    <sheetView showGridLines="0" workbookViewId="0"/>
  </sheetViews>
  <sheetFormatPr defaultRowHeight="15" x14ac:dyDescent="0.25"/>
  <cols>
    <col min="3" max="9" width="9.28515625" customWidth="1"/>
    <col min="10" max="10" width="12.140625" customWidth="1"/>
    <col min="11" max="11" width="9.28515625" customWidth="1"/>
  </cols>
  <sheetData>
    <row r="1" spans="1:11" ht="15.75" x14ac:dyDescent="0.25">
      <c r="A1" s="80" t="s">
        <v>107</v>
      </c>
    </row>
    <row r="3" spans="1:11" x14ac:dyDescent="0.25">
      <c r="A3" t="s">
        <v>77</v>
      </c>
    </row>
    <row r="5" spans="1:11" x14ac:dyDescent="0.25">
      <c r="A5" t="s">
        <v>78</v>
      </c>
    </row>
    <row r="6" spans="1:11" x14ac:dyDescent="0.25">
      <c r="A6" t="s">
        <v>12</v>
      </c>
      <c r="G6" t="s">
        <v>6</v>
      </c>
    </row>
    <row r="7" spans="1:11" x14ac:dyDescent="0.25">
      <c r="B7" t="s">
        <v>25</v>
      </c>
      <c r="C7" s="56">
        <v>2.8</v>
      </c>
      <c r="D7" s="56">
        <v>3.5</v>
      </c>
      <c r="E7" s="56">
        <v>4</v>
      </c>
      <c r="F7" s="56">
        <v>4.5</v>
      </c>
      <c r="G7" s="56">
        <v>5.6</v>
      </c>
      <c r="H7" s="56">
        <v>6.7</v>
      </c>
      <c r="I7" s="56">
        <v>8</v>
      </c>
    </row>
    <row r="8" spans="1:11" x14ac:dyDescent="0.25">
      <c r="B8" s="56">
        <v>0.25</v>
      </c>
      <c r="C8" s="14">
        <v>0.7270461154964547</v>
      </c>
      <c r="D8" s="14">
        <v>0.90814737934613587</v>
      </c>
      <c r="E8" s="14">
        <v>1.0373443983402453</v>
      </c>
      <c r="F8" s="14">
        <v>1.1664074650077627</v>
      </c>
      <c r="G8" s="14">
        <v>1.4498757249378491</v>
      </c>
      <c r="H8" s="14">
        <v>1.7326988724526704</v>
      </c>
      <c r="I8" s="14">
        <v>2.066115702479332</v>
      </c>
    </row>
    <row r="9" spans="1:11" x14ac:dyDescent="0.25">
      <c r="B9" s="56">
        <v>0.5</v>
      </c>
      <c r="C9" s="14">
        <v>2.8997514498756982</v>
      </c>
      <c r="D9" s="14">
        <v>3.6194415718717732</v>
      </c>
      <c r="E9" s="14">
        <v>4.1322314049586639</v>
      </c>
      <c r="F9" s="14">
        <v>4.6439628482972122</v>
      </c>
      <c r="G9" s="14">
        <v>5.7660626029654161</v>
      </c>
      <c r="H9" s="14">
        <v>6.8830901993014448</v>
      </c>
      <c r="I9" s="14">
        <v>8.196721311475418</v>
      </c>
      <c r="J9" s="14"/>
      <c r="K9" s="14"/>
    </row>
    <row r="10" spans="1:11" x14ac:dyDescent="0.25">
      <c r="B10" s="56">
        <v>1</v>
      </c>
      <c r="C10" s="14">
        <v>11.532125205930832</v>
      </c>
      <c r="D10" s="14">
        <v>14.373716632443578</v>
      </c>
      <c r="E10" s="14">
        <v>16.393442622950836</v>
      </c>
      <c r="F10" s="14">
        <v>18.404907975460127</v>
      </c>
      <c r="G10" s="14">
        <v>22.801302931596101</v>
      </c>
      <c r="H10" s="14">
        <v>27.15849209566279</v>
      </c>
      <c r="I10" s="14">
        <v>32.258064516129004</v>
      </c>
      <c r="J10" s="14"/>
      <c r="K10" s="14"/>
    </row>
    <row r="11" spans="1:11" x14ac:dyDescent="0.25">
      <c r="J11" s="14"/>
      <c r="K11" s="14"/>
    </row>
    <row r="12" spans="1:11" x14ac:dyDescent="0.25">
      <c r="C12" s="14"/>
      <c r="D12" s="14"/>
      <c r="E12" s="14"/>
      <c r="F12" s="14"/>
      <c r="G12" s="14"/>
      <c r="H12" s="14"/>
      <c r="I12" s="14"/>
      <c r="J12" s="14"/>
      <c r="K12" s="14"/>
    </row>
    <row r="13" spans="1:11" x14ac:dyDescent="0.25">
      <c r="C13" s="14"/>
      <c r="D13" s="14"/>
      <c r="E13" s="14"/>
      <c r="F13" s="14"/>
      <c r="G13" s="14"/>
      <c r="H13" s="14"/>
      <c r="I13" s="14"/>
      <c r="J13" s="14"/>
      <c r="K13" s="14"/>
    </row>
    <row r="14" spans="1:11" x14ac:dyDescent="0.25">
      <c r="A14" t="s">
        <v>127</v>
      </c>
      <c r="J14" s="10"/>
      <c r="K14" s="10"/>
    </row>
    <row r="15" spans="1:11" x14ac:dyDescent="0.25">
      <c r="J15" s="10"/>
      <c r="K15" s="10"/>
    </row>
    <row r="16" spans="1:11" x14ac:dyDescent="0.25">
      <c r="A16" t="s">
        <v>129</v>
      </c>
      <c r="J16" s="10"/>
      <c r="K16" s="10"/>
    </row>
    <row r="17" spans="1:11" x14ac:dyDescent="0.25">
      <c r="C17" s="56">
        <v>2.8</v>
      </c>
      <c r="D17" s="56">
        <v>3.5</v>
      </c>
      <c r="E17" s="56">
        <v>4</v>
      </c>
      <c r="F17" s="56">
        <v>4.5</v>
      </c>
      <c r="G17" s="56">
        <v>5.6</v>
      </c>
      <c r="H17" s="56">
        <v>6.7</v>
      </c>
      <c r="I17" s="56">
        <v>8</v>
      </c>
      <c r="J17" s="10"/>
      <c r="K17" s="10"/>
    </row>
    <row r="18" spans="1:11" x14ac:dyDescent="0.25">
      <c r="B18" s="56">
        <v>0.25</v>
      </c>
      <c r="C18">
        <v>0.2</v>
      </c>
      <c r="D18">
        <v>0.25</v>
      </c>
      <c r="E18">
        <v>0.3</v>
      </c>
      <c r="F18">
        <v>0.5</v>
      </c>
      <c r="G18">
        <v>0.6</v>
      </c>
      <c r="H18">
        <v>0.8</v>
      </c>
      <c r="I18">
        <v>1</v>
      </c>
      <c r="J18" s="10"/>
      <c r="K18" s="10"/>
    </row>
    <row r="19" spans="1:11" x14ac:dyDescent="0.25">
      <c r="B19" s="56">
        <v>0.5</v>
      </c>
      <c r="C19">
        <v>3</v>
      </c>
      <c r="D19">
        <v>3</v>
      </c>
      <c r="E19">
        <v>3</v>
      </c>
      <c r="F19">
        <v>4</v>
      </c>
      <c r="G19">
        <v>5</v>
      </c>
      <c r="H19">
        <v>6</v>
      </c>
      <c r="I19">
        <v>7</v>
      </c>
    </row>
    <row r="20" spans="1:11" x14ac:dyDescent="0.25">
      <c r="B20" s="56">
        <v>1</v>
      </c>
      <c r="C20">
        <v>7</v>
      </c>
      <c r="D20">
        <v>10</v>
      </c>
      <c r="E20">
        <v>11</v>
      </c>
      <c r="F20">
        <v>13</v>
      </c>
      <c r="G20">
        <v>15</v>
      </c>
      <c r="H20">
        <v>18</v>
      </c>
      <c r="I20">
        <v>21</v>
      </c>
    </row>
    <row r="22" spans="1:11" x14ac:dyDescent="0.25">
      <c r="A22" t="s">
        <v>171</v>
      </c>
      <c r="H22" t="s">
        <v>128</v>
      </c>
      <c r="I22">
        <f>COS(PI()*30/180)</f>
        <v>0.86602540378443871</v>
      </c>
    </row>
    <row r="23" spans="1:11" x14ac:dyDescent="0.25">
      <c r="C23" s="56">
        <v>2.8</v>
      </c>
      <c r="D23" s="56">
        <v>3.5</v>
      </c>
      <c r="E23" s="56">
        <v>4</v>
      </c>
      <c r="F23" s="56">
        <v>4.5</v>
      </c>
      <c r="G23" s="56">
        <v>5.6</v>
      </c>
      <c r="H23" s="56">
        <v>6.7</v>
      </c>
      <c r="I23" s="56">
        <v>8</v>
      </c>
    </row>
    <row r="24" spans="1:11" x14ac:dyDescent="0.25">
      <c r="B24" s="56">
        <v>0.25</v>
      </c>
      <c r="C24" s="54">
        <f t="shared" ref="C24:I26" si="0">$I$22*C18*25.4/(2*8)</f>
        <v>0.27496306570155932</v>
      </c>
      <c r="D24" s="54">
        <f t="shared" si="0"/>
        <v>0.3437038321269491</v>
      </c>
      <c r="E24" s="54">
        <f t="shared" si="0"/>
        <v>0.41244459855233895</v>
      </c>
      <c r="F24" s="54">
        <f t="shared" si="0"/>
        <v>0.68740766425389821</v>
      </c>
      <c r="G24" s="54">
        <f t="shared" si="0"/>
        <v>0.8248891971046779</v>
      </c>
      <c r="H24" s="54">
        <f t="shared" si="0"/>
        <v>1.0998522628062373</v>
      </c>
      <c r="I24" s="54">
        <f t="shared" si="0"/>
        <v>1.3748153285077964</v>
      </c>
    </row>
    <row r="25" spans="1:11" x14ac:dyDescent="0.25">
      <c r="B25" s="56">
        <v>0.5</v>
      </c>
      <c r="C25" s="54">
        <f t="shared" si="0"/>
        <v>4.1244459855233888</v>
      </c>
      <c r="D25" s="54">
        <f t="shared" si="0"/>
        <v>4.1244459855233888</v>
      </c>
      <c r="E25" s="54">
        <f t="shared" si="0"/>
        <v>4.1244459855233888</v>
      </c>
      <c r="F25" s="54">
        <f t="shared" si="0"/>
        <v>5.4992613140311857</v>
      </c>
      <c r="G25" s="54">
        <f t="shared" si="0"/>
        <v>6.8740766425389817</v>
      </c>
      <c r="H25" s="54">
        <f t="shared" si="0"/>
        <v>8.2488919710467776</v>
      </c>
      <c r="I25" s="54">
        <f t="shared" si="0"/>
        <v>9.6237072995545745</v>
      </c>
    </row>
    <row r="26" spans="1:11" x14ac:dyDescent="0.25">
      <c r="B26" s="56">
        <v>1</v>
      </c>
      <c r="C26" s="54">
        <f t="shared" si="0"/>
        <v>9.6237072995545745</v>
      </c>
      <c r="D26" s="54">
        <f t="shared" si="0"/>
        <v>13.748153285077963</v>
      </c>
      <c r="E26" s="54">
        <f t="shared" si="0"/>
        <v>15.122968613585762</v>
      </c>
      <c r="F26" s="54">
        <f t="shared" si="0"/>
        <v>17.872599270601352</v>
      </c>
      <c r="G26" s="54">
        <f t="shared" si="0"/>
        <v>20.622229927616946</v>
      </c>
      <c r="H26" s="54">
        <f t="shared" si="0"/>
        <v>24.746675913140333</v>
      </c>
      <c r="I26" s="54">
        <f t="shared" si="0"/>
        <v>28.871121898663723</v>
      </c>
    </row>
    <row r="28" spans="1:11" x14ac:dyDescent="0.25">
      <c r="A28" t="s">
        <v>71</v>
      </c>
    </row>
    <row r="29" spans="1:11" x14ac:dyDescent="0.25">
      <c r="C29" s="56">
        <v>2.8</v>
      </c>
      <c r="D29" s="56">
        <v>3.5</v>
      </c>
      <c r="E29" s="56">
        <v>4</v>
      </c>
      <c r="F29" s="56">
        <v>4.5</v>
      </c>
      <c r="G29" s="56">
        <v>5.6</v>
      </c>
      <c r="H29" s="56">
        <v>6.7</v>
      </c>
      <c r="I29" s="56">
        <v>8</v>
      </c>
    </row>
    <row r="30" spans="1:11" x14ac:dyDescent="0.25">
      <c r="B30" s="56">
        <v>0.25</v>
      </c>
      <c r="C30" s="54">
        <f t="shared" ref="C30:I32" si="1">C8-C24</f>
        <v>0.45208304979489539</v>
      </c>
      <c r="D30" s="54">
        <f t="shared" si="1"/>
        <v>0.56444354721918677</v>
      </c>
      <c r="E30" s="54">
        <f t="shared" si="1"/>
        <v>0.62489979978790633</v>
      </c>
      <c r="F30" s="54">
        <f t="shared" si="1"/>
        <v>0.4789998007538645</v>
      </c>
      <c r="G30" s="54">
        <f t="shared" si="1"/>
        <v>0.62498652783317121</v>
      </c>
      <c r="H30" s="54">
        <f t="shared" si="1"/>
        <v>0.63284660964643313</v>
      </c>
      <c r="I30" s="54">
        <f t="shared" si="1"/>
        <v>0.69130037397153554</v>
      </c>
    </row>
    <row r="31" spans="1:11" x14ac:dyDescent="0.25">
      <c r="B31" s="56">
        <v>0.5</v>
      </c>
      <c r="C31" s="54">
        <f t="shared" si="1"/>
        <v>-1.2246945356476906</v>
      </c>
      <c r="D31" s="54">
        <f t="shared" si="1"/>
        <v>-0.50500441365161564</v>
      </c>
      <c r="E31" s="54">
        <f t="shared" si="1"/>
        <v>7.7854194352751094E-3</v>
      </c>
      <c r="F31" s="54">
        <f t="shared" si="1"/>
        <v>-0.8552984657339735</v>
      </c>
      <c r="G31" s="54">
        <f t="shared" si="1"/>
        <v>-1.1080140395735656</v>
      </c>
      <c r="H31" s="54">
        <f t="shared" si="1"/>
        <v>-1.3658017717453328</v>
      </c>
      <c r="I31" s="54">
        <f t="shared" si="1"/>
        <v>-1.4269859880791564</v>
      </c>
    </row>
    <row r="32" spans="1:11" x14ac:dyDescent="0.25">
      <c r="B32" s="56">
        <v>1</v>
      </c>
      <c r="C32" s="54">
        <f t="shared" si="1"/>
        <v>1.9084179063762576</v>
      </c>
      <c r="D32" s="54">
        <f t="shared" si="1"/>
        <v>0.62556334736561503</v>
      </c>
      <c r="E32" s="54">
        <f t="shared" si="1"/>
        <v>1.2704740093650742</v>
      </c>
      <c r="F32" s="54">
        <f t="shared" si="1"/>
        <v>0.53230870485877446</v>
      </c>
      <c r="G32" s="54">
        <f t="shared" si="1"/>
        <v>2.1790730039791555</v>
      </c>
      <c r="H32" s="54">
        <f t="shared" si="1"/>
        <v>2.4118161825224576</v>
      </c>
      <c r="I32" s="54">
        <f t="shared" si="1"/>
        <v>3.3869426174652801</v>
      </c>
    </row>
    <row r="33" spans="1:13" x14ac:dyDescent="0.25">
      <c r="K33" s="64" t="s">
        <v>172</v>
      </c>
    </row>
    <row r="34" spans="1:13" x14ac:dyDescent="0.25">
      <c r="A34" t="s">
        <v>33</v>
      </c>
    </row>
    <row r="35" spans="1:13" x14ac:dyDescent="0.25">
      <c r="C35" s="56">
        <v>2.8</v>
      </c>
      <c r="D35" s="56">
        <v>3.5</v>
      </c>
      <c r="E35" s="56">
        <v>4</v>
      </c>
      <c r="F35" s="56">
        <v>4.5</v>
      </c>
      <c r="G35" s="56">
        <v>5.6</v>
      </c>
      <c r="H35" s="56">
        <v>6.7</v>
      </c>
      <c r="I35" s="56">
        <v>8</v>
      </c>
      <c r="K35" t="s">
        <v>133</v>
      </c>
      <c r="M35" t="s">
        <v>134</v>
      </c>
    </row>
    <row r="36" spans="1:13" x14ac:dyDescent="0.25">
      <c r="B36" s="56">
        <v>0.25</v>
      </c>
      <c r="C36" s="4">
        <f t="shared" ref="C36:I38" si="2">C30/MIN(C18,C8)</f>
        <v>2.2604152489744767</v>
      </c>
      <c r="D36" s="4">
        <f t="shared" si="2"/>
        <v>2.2577741888767471</v>
      </c>
      <c r="E36" s="4">
        <f t="shared" si="2"/>
        <v>2.0829993326263545</v>
      </c>
      <c r="F36" s="4">
        <f t="shared" si="2"/>
        <v>0.957999601507729</v>
      </c>
      <c r="G36" s="4">
        <f t="shared" si="2"/>
        <v>1.0416442130552854</v>
      </c>
      <c r="H36" s="4">
        <f t="shared" si="2"/>
        <v>0.79105826205804142</v>
      </c>
      <c r="I36" s="4">
        <f t="shared" si="2"/>
        <v>0.69130037397153554</v>
      </c>
      <c r="J36" s="1" t="s">
        <v>132</v>
      </c>
      <c r="K36" s="8">
        <f>AVERAGE(C36:I38)</f>
        <v>0.45525556818827251</v>
      </c>
      <c r="M36" s="8">
        <f>AVERAGE(C37:I38)</f>
        <v>-3.7344592079746053E-2</v>
      </c>
    </row>
    <row r="37" spans="1:13" x14ac:dyDescent="0.25">
      <c r="B37" s="56">
        <v>0.5</v>
      </c>
      <c r="C37" s="4">
        <f t="shared" si="2"/>
        <v>-0.42234465843622176</v>
      </c>
      <c r="D37" s="4">
        <f t="shared" si="2"/>
        <v>-0.16833480455053854</v>
      </c>
      <c r="E37" s="4">
        <f t="shared" si="2"/>
        <v>2.5951398117583699E-3</v>
      </c>
      <c r="F37" s="4">
        <f t="shared" si="2"/>
        <v>-0.21382461643349338</v>
      </c>
      <c r="G37" s="4">
        <f t="shared" si="2"/>
        <v>-0.22160280791471312</v>
      </c>
      <c r="H37" s="4">
        <f t="shared" si="2"/>
        <v>-0.22763362862422212</v>
      </c>
      <c r="I37" s="4">
        <f t="shared" si="2"/>
        <v>-0.2038551411541652</v>
      </c>
      <c r="J37" s="1" t="s">
        <v>135</v>
      </c>
      <c r="K37" s="4">
        <f>SQRT(MAX(C42:I44))</f>
        <v>2.2604152489744767</v>
      </c>
      <c r="M37" s="4">
        <f>SQRT(MAX(C43:I44))</f>
        <v>0.42234465843622176</v>
      </c>
    </row>
    <row r="38" spans="1:13" x14ac:dyDescent="0.25">
      <c r="B38" s="56">
        <v>1</v>
      </c>
      <c r="C38" s="4">
        <f t="shared" si="2"/>
        <v>0.27263112948232254</v>
      </c>
      <c r="D38" s="4">
        <f t="shared" si="2"/>
        <v>6.2556334736561497E-2</v>
      </c>
      <c r="E38" s="4">
        <f t="shared" si="2"/>
        <v>0.11549763721500673</v>
      </c>
      <c r="F38" s="4">
        <f t="shared" si="2"/>
        <v>4.0946823450674956E-2</v>
      </c>
      <c r="G38" s="4">
        <f t="shared" si="2"/>
        <v>0.14527153359861036</v>
      </c>
      <c r="H38" s="4">
        <f t="shared" si="2"/>
        <v>0.1339897879179143</v>
      </c>
      <c r="I38" s="4">
        <f t="shared" si="2"/>
        <v>0.16128298178406095</v>
      </c>
      <c r="J38" s="1" t="s">
        <v>137</v>
      </c>
      <c r="K38" s="4">
        <f>SQRT(AVERAGE(C42:I44))</f>
        <v>0.93109282070337618</v>
      </c>
      <c r="M38" s="4">
        <f>SQRT(AVERAGE(C43:I44))</f>
        <v>0.19879058731893817</v>
      </c>
    </row>
    <row r="40" spans="1:13" x14ac:dyDescent="0.25">
      <c r="A40" t="s">
        <v>136</v>
      </c>
    </row>
    <row r="41" spans="1:13" x14ac:dyDescent="0.25">
      <c r="C41" s="56">
        <v>2.8</v>
      </c>
      <c r="D41" s="56">
        <v>3.5</v>
      </c>
      <c r="E41" s="56">
        <v>4</v>
      </c>
      <c r="F41" s="56">
        <v>4.5</v>
      </c>
      <c r="G41" s="56">
        <v>5.6</v>
      </c>
      <c r="H41" s="56">
        <v>6.7</v>
      </c>
      <c r="I41" s="56">
        <v>8</v>
      </c>
    </row>
    <row r="42" spans="1:13" x14ac:dyDescent="0.25">
      <c r="B42" s="56">
        <v>0.25</v>
      </c>
      <c r="C42" s="4">
        <f>C36^2</f>
        <v>5.1094770977963453</v>
      </c>
      <c r="D42" s="4">
        <f t="shared" ref="D42:I42" si="3">D36^2</f>
        <v>5.097544287958053</v>
      </c>
      <c r="E42" s="4">
        <f t="shared" si="3"/>
        <v>4.3388862197218385</v>
      </c>
      <c r="F42" s="4">
        <f t="shared" si="3"/>
        <v>0.91776323648896752</v>
      </c>
      <c r="G42" s="4">
        <f t="shared" si="3"/>
        <v>1.0850226665915648</v>
      </c>
      <c r="H42" s="4">
        <f t="shared" si="3"/>
        <v>0.62577317397028898</v>
      </c>
      <c r="I42" s="4">
        <f t="shared" si="3"/>
        <v>0.47789620705318492</v>
      </c>
    </row>
    <row r="43" spans="1:13" x14ac:dyDescent="0.25">
      <c r="B43" s="56">
        <v>0.5</v>
      </c>
      <c r="C43" s="4">
        <f t="shared" ref="C43:I43" si="4">C37^2</f>
        <v>0.17837501050960883</v>
      </c>
      <c r="D43" s="4">
        <f t="shared" si="4"/>
        <v>2.8336606423068008E-2</v>
      </c>
      <c r="E43" s="4">
        <f t="shared" si="4"/>
        <v>6.7347506425732674E-6</v>
      </c>
      <c r="F43" s="4">
        <f t="shared" si="4"/>
        <v>4.5720966592930568E-2</v>
      </c>
      <c r="G43" s="4">
        <f t="shared" si="4"/>
        <v>4.9107804475685239E-2</v>
      </c>
      <c r="H43" s="4">
        <f t="shared" si="4"/>
        <v>5.1817068880630278E-2</v>
      </c>
      <c r="I43" s="4">
        <f t="shared" si="4"/>
        <v>4.1556918574984621E-2</v>
      </c>
    </row>
    <row r="44" spans="1:13" x14ac:dyDescent="0.25">
      <c r="B44" s="56">
        <v>1</v>
      </c>
      <c r="C44" s="4">
        <f t="shared" ref="C44:I44" si="5">C38^2</f>
        <v>7.4327732762806922E-2</v>
      </c>
      <c r="D44" s="4">
        <f t="shared" si="5"/>
        <v>3.9132950156727303E-3</v>
      </c>
      <c r="E44" s="4">
        <f t="shared" si="5"/>
        <v>1.3339704202249308E-2</v>
      </c>
      <c r="F44" s="4">
        <f t="shared" si="5"/>
        <v>1.6766423507007446E-3</v>
      </c>
      <c r="G44" s="4">
        <f t="shared" si="5"/>
        <v>2.1103818474092179E-2</v>
      </c>
      <c r="H44" s="4">
        <f t="shared" si="5"/>
        <v>1.7953263266287652E-2</v>
      </c>
      <c r="I44" s="4">
        <f t="shared" si="5"/>
        <v>2.6012200213157734E-2</v>
      </c>
    </row>
    <row r="47" spans="1:13" x14ac:dyDescent="0.25">
      <c r="A47" s="15" t="s">
        <v>57</v>
      </c>
    </row>
    <row r="48" spans="1:13" x14ac:dyDescent="0.25">
      <c r="A48" t="s">
        <v>130</v>
      </c>
    </row>
    <row r="49" spans="1:1" x14ac:dyDescent="0.25">
      <c r="A49" t="s">
        <v>131</v>
      </c>
    </row>
    <row r="50" spans="1:1" x14ac:dyDescent="0.25">
      <c r="A50" t="s">
        <v>170</v>
      </c>
    </row>
    <row r="51" spans="1:1" x14ac:dyDescent="0.25">
      <c r="A51" t="s">
        <v>138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Near DoF estimator</vt:lpstr>
      <vt:lpstr>Explanation</vt:lpstr>
      <vt:lpstr>Check 1</vt:lpstr>
      <vt:lpstr>Check 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Lester</dc:creator>
  <cp:lastModifiedBy>Lester Gilbert</cp:lastModifiedBy>
  <dcterms:created xsi:type="dcterms:W3CDTF">2018-11-18T09:27:15Z</dcterms:created>
  <dcterms:modified xsi:type="dcterms:W3CDTF">2023-09-19T10:39:30Z</dcterms:modified>
</cp:coreProperties>
</file>