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g11\OneDrive\Desktop\"/>
    </mc:Choice>
  </mc:AlternateContent>
  <xr:revisionPtr revIDLastSave="0" documentId="13_ncr:1_{6A045CAF-CD79-4106-88EB-B2764055B04F}" xr6:coauthVersionLast="47" xr6:coauthVersionMax="47" xr10:uidLastSave="{00000000-0000-0000-0000-000000000000}"/>
  <bookViews>
    <workbookView xWindow="-32910" yWindow="105" windowWidth="32880" windowHeight="20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5" i="1" l="1"/>
  <c r="AC21" i="1"/>
  <c r="AC29" i="1"/>
  <c r="P12" i="1"/>
  <c r="R83" i="1"/>
  <c r="AC20" i="1"/>
  <c r="AC28" i="1"/>
  <c r="V67" i="1"/>
  <c r="T67" i="1"/>
  <c r="Y67" i="1"/>
  <c r="X67" i="1"/>
  <c r="W67" i="1"/>
  <c r="U67" i="1"/>
  <c r="S67" i="1"/>
  <c r="V66" i="1"/>
  <c r="T66" i="1"/>
  <c r="Y66" i="1"/>
  <c r="X66" i="1"/>
  <c r="W66" i="1"/>
  <c r="U66" i="1"/>
  <c r="S66" i="1"/>
  <c r="F43" i="1"/>
  <c r="M26" i="1"/>
  <c r="U84" i="1"/>
  <c r="U80" i="1"/>
  <c r="F41" i="1"/>
  <c r="D60" i="1"/>
  <c r="C60" i="1"/>
  <c r="F61" i="1"/>
  <c r="F60" i="1"/>
  <c r="B58" i="1"/>
  <c r="C58" i="1" s="1"/>
  <c r="B57" i="1"/>
  <c r="C57" i="1" s="1"/>
  <c r="B56" i="1"/>
  <c r="D56" i="1" s="1"/>
  <c r="B55" i="1"/>
  <c r="C55" i="1" s="1"/>
  <c r="B54" i="1"/>
  <c r="D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P40" i="1"/>
  <c r="P42" i="1" s="1"/>
  <c r="O40" i="1"/>
  <c r="O42" i="1" s="1"/>
  <c r="N40" i="1"/>
  <c r="N44" i="1" s="1"/>
  <c r="M40" i="1"/>
  <c r="M44" i="1" s="1"/>
  <c r="L40" i="1"/>
  <c r="L44" i="1" s="1"/>
  <c r="K40" i="1"/>
  <c r="K44" i="1" s="1"/>
  <c r="J40" i="1"/>
  <c r="J44" i="1" s="1"/>
  <c r="I40" i="1"/>
  <c r="I44" i="1" s="1"/>
  <c r="H40" i="1"/>
  <c r="H44" i="1" s="1"/>
  <c r="G40" i="1"/>
  <c r="G44" i="1" s="1"/>
  <c r="F40" i="1"/>
  <c r="F42" i="1" s="1"/>
  <c r="P37" i="1"/>
  <c r="O37" i="1"/>
  <c r="N37" i="1"/>
  <c r="M37" i="1"/>
  <c r="L37" i="1"/>
  <c r="K37" i="1"/>
  <c r="J37" i="1"/>
  <c r="I37" i="1"/>
  <c r="H37" i="1"/>
  <c r="G37" i="1"/>
  <c r="F37" i="1"/>
  <c r="H42" i="1" l="1"/>
  <c r="L42" i="1"/>
  <c r="J42" i="1"/>
  <c r="I42" i="1"/>
  <c r="K42" i="1"/>
  <c r="O44" i="1"/>
  <c r="M42" i="1"/>
  <c r="N42" i="1"/>
  <c r="D58" i="1"/>
  <c r="G42" i="1"/>
  <c r="P44" i="1"/>
  <c r="D48" i="1"/>
  <c r="D49" i="1"/>
  <c r="D52" i="1"/>
  <c r="D53" i="1"/>
  <c r="D55" i="1"/>
  <c r="D51" i="1"/>
  <c r="F44" i="1"/>
  <c r="D50" i="1"/>
  <c r="D57" i="1"/>
  <c r="C56" i="1"/>
  <c r="C54" i="1"/>
  <c r="L18" i="1" l="1"/>
  <c r="E18" i="1"/>
  <c r="F20" i="1"/>
  <c r="P15" i="1"/>
  <c r="L16" i="1"/>
  <c r="M16" i="1" s="1"/>
  <c r="E16" i="1"/>
  <c r="L22" i="1"/>
  <c r="E22" i="1"/>
  <c r="V76" i="1"/>
  <c r="F7" i="1"/>
  <c r="M21" i="1"/>
  <c r="M15" i="1"/>
  <c r="F15" i="1"/>
  <c r="F8" i="1"/>
  <c r="M7" i="1"/>
  <c r="E17" i="1"/>
  <c r="L8" i="1"/>
  <c r="AC33" i="1" s="1"/>
  <c r="V80" i="1"/>
  <c r="L17" i="1"/>
  <c r="M17" i="1" s="1"/>
  <c r="E67" i="1"/>
  <c r="AC26" i="1" l="1"/>
  <c r="AC22" i="1"/>
  <c r="M22" i="1"/>
  <c r="E32" i="1"/>
  <c r="AC31" i="1" s="1"/>
  <c r="P47" i="1"/>
  <c r="O47" i="1"/>
  <c r="N47" i="1"/>
  <c r="M47" i="1"/>
  <c r="L47" i="1"/>
  <c r="K47" i="1"/>
  <c r="J47" i="1"/>
  <c r="I47" i="1"/>
  <c r="H47" i="1"/>
  <c r="G47" i="1"/>
  <c r="F47" i="1"/>
  <c r="F46" i="1"/>
  <c r="F17" i="1"/>
  <c r="F22" i="1"/>
  <c r="E25" i="1"/>
  <c r="E60" i="1"/>
  <c r="E56" i="1"/>
  <c r="E57" i="1"/>
  <c r="E51" i="1"/>
  <c r="E58" i="1"/>
  <c r="E54" i="1"/>
  <c r="E49" i="1"/>
  <c r="E55" i="1"/>
  <c r="E50" i="1"/>
  <c r="E52" i="1"/>
  <c r="E48" i="1"/>
  <c r="E53" i="1"/>
  <c r="L25" i="1"/>
  <c r="M25" i="1" s="1"/>
  <c r="M70" i="1"/>
  <c r="AC30" i="1"/>
  <c r="AC32" i="1"/>
  <c r="P16" i="1"/>
  <c r="F9" i="1"/>
  <c r="P17" i="1"/>
  <c r="F16" i="1"/>
  <c r="M8" i="1"/>
  <c r="V84" i="1"/>
  <c r="E26" i="1" l="1"/>
  <c r="F25" i="1"/>
  <c r="H52" i="1"/>
  <c r="I57" i="1"/>
  <c r="E31" i="1"/>
  <c r="J51" i="1"/>
  <c r="G58" i="1"/>
  <c r="G51" i="1"/>
  <c r="G48" i="1"/>
  <c r="G49" i="1"/>
  <c r="G52" i="1"/>
  <c r="G57" i="1"/>
  <c r="G53" i="1"/>
  <c r="G56" i="1"/>
  <c r="G50" i="1"/>
  <c r="M56" i="1"/>
  <c r="M49" i="1"/>
  <c r="M55" i="1"/>
  <c r="M52" i="1"/>
  <c r="M51" i="1"/>
  <c r="M50" i="1"/>
  <c r="M54" i="1"/>
  <c r="M48" i="1"/>
  <c r="M53" i="1"/>
  <c r="M57" i="1"/>
  <c r="M58" i="1"/>
  <c r="I58" i="1"/>
  <c r="I55" i="1"/>
  <c r="I54" i="1"/>
  <c r="I48" i="1"/>
  <c r="I50" i="1"/>
  <c r="I56" i="1"/>
  <c r="I51" i="1"/>
  <c r="I52" i="1"/>
  <c r="I49" i="1"/>
  <c r="I53" i="1"/>
  <c r="J53" i="1"/>
  <c r="J52" i="1"/>
  <c r="J55" i="1"/>
  <c r="J54" i="1"/>
  <c r="J58" i="1"/>
  <c r="J57" i="1"/>
  <c r="J49" i="1"/>
  <c r="J50" i="1"/>
  <c r="J56" i="1"/>
  <c r="G55" i="1"/>
  <c r="N52" i="1"/>
  <c r="N48" i="1"/>
  <c r="N58" i="1"/>
  <c r="N51" i="1"/>
  <c r="N57" i="1"/>
  <c r="N55" i="1"/>
  <c r="N56" i="1"/>
  <c r="N53" i="1"/>
  <c r="N49" i="1"/>
  <c r="N54" i="1"/>
  <c r="N50" i="1"/>
  <c r="O58" i="1"/>
  <c r="O50" i="1"/>
  <c r="O54" i="1"/>
  <c r="O55" i="1"/>
  <c r="O48" i="1"/>
  <c r="O52" i="1"/>
  <c r="O53" i="1"/>
  <c r="O51" i="1"/>
  <c r="O57" i="1"/>
  <c r="O56" i="1"/>
  <c r="J48" i="1"/>
  <c r="L56" i="1"/>
  <c r="L54" i="1"/>
  <c r="L57" i="1"/>
  <c r="L49" i="1"/>
  <c r="L58" i="1"/>
  <c r="L55" i="1"/>
  <c r="L50" i="1"/>
  <c r="L53" i="1"/>
  <c r="L48" i="1"/>
  <c r="L52" i="1"/>
  <c r="L51" i="1"/>
  <c r="K58" i="1"/>
  <c r="K53" i="1"/>
  <c r="K54" i="1"/>
  <c r="K57" i="1"/>
  <c r="K49" i="1"/>
  <c r="K55" i="1"/>
  <c r="K50" i="1"/>
  <c r="K52" i="1"/>
  <c r="K51" i="1"/>
  <c r="K56" i="1"/>
  <c r="K48" i="1"/>
  <c r="P49" i="1"/>
  <c r="P53" i="1"/>
  <c r="P55" i="1"/>
  <c r="P50" i="1"/>
  <c r="P54" i="1"/>
  <c r="P48" i="1"/>
  <c r="P51" i="1"/>
  <c r="P52" i="1"/>
  <c r="P56" i="1"/>
  <c r="P57" i="1"/>
  <c r="H51" i="1"/>
  <c r="H58" i="1"/>
  <c r="H54" i="1"/>
  <c r="H57" i="1"/>
  <c r="H48" i="1"/>
  <c r="H49" i="1"/>
  <c r="H50" i="1"/>
  <c r="H53" i="1"/>
  <c r="H55" i="1"/>
  <c r="H56" i="1"/>
  <c r="O49" i="1"/>
  <c r="G54" i="1"/>
  <c r="P58" i="1"/>
  <c r="F57" i="1"/>
  <c r="F49" i="1"/>
  <c r="F58" i="1"/>
  <c r="F53" i="1"/>
  <c r="F48" i="1"/>
  <c r="F50" i="1"/>
  <c r="F56" i="1"/>
  <c r="F55" i="1"/>
  <c r="F51" i="1"/>
  <c r="F52" i="1"/>
  <c r="F54" i="1"/>
  <c r="AC34" i="1" l="1"/>
  <c r="AC44" i="1"/>
  <c r="L27" i="1"/>
  <c r="AC42" i="1"/>
  <c r="E70" i="1"/>
  <c r="M71" i="1" s="1"/>
  <c r="M67" i="1"/>
  <c r="E68" i="1" s="1"/>
  <c r="F66" i="1"/>
  <c r="E71" i="1" l="1"/>
  <c r="E29" i="1"/>
  <c r="E30" i="1" s="1"/>
  <c r="M27" i="1"/>
  <c r="M68" i="1"/>
  <c r="W64" i="1"/>
</calcChain>
</file>

<file path=xl/sharedStrings.xml><?xml version="1.0" encoding="utf-8"?>
<sst xmlns="http://schemas.openxmlformats.org/spreadsheetml/2006/main" count="254" uniqueCount="205">
  <si>
    <t>cm</t>
  </si>
  <si>
    <t>A4</t>
  </si>
  <si>
    <t>Sheet aspect ratios</t>
  </si>
  <si>
    <t>px</t>
  </si>
  <si>
    <t>P8247796</t>
  </si>
  <si>
    <t>Lightroom</t>
  </si>
  <si>
    <t>Corel Draw</t>
  </si>
  <si>
    <t>File Manager</t>
  </si>
  <si>
    <t>Excel</t>
  </si>
  <si>
    <t>Notes</t>
  </si>
  <si>
    <t>Allow at least 1½" margin all round of canvas, of which</t>
  </si>
  <si>
    <t>keeping height</t>
  </si>
  <si>
    <t>resulting dpi</t>
  </si>
  <si>
    <t>Different for height?</t>
  </si>
  <si>
    <t>Required image width</t>
  </si>
  <si>
    <t>Required image AR</t>
  </si>
  <si>
    <r>
      <rPr>
        <b/>
        <i/>
        <u/>
        <sz val="11"/>
        <color theme="1"/>
        <rFont val="Calibri"/>
        <family val="2"/>
        <scheme val="minor"/>
      </rPr>
      <t>Delete the rectangle</t>
    </r>
    <r>
      <rPr>
        <b/>
        <i/>
        <sz val="11"/>
        <color theme="1"/>
        <rFont val="Calibri"/>
        <family val="2"/>
        <scheme val="minor"/>
      </rPr>
      <t>.</t>
    </r>
  </si>
  <si>
    <t>Postage in a tube</t>
  </si>
  <si>
    <t>Max size for postage to Europe by Royal Mail (max wt 2 kg)</t>
  </si>
  <si>
    <t>Assume bundle of 4 bars plus canvas &amp; protection</t>
  </si>
  <si>
    <t>Effective max length:</t>
  </si>
  <si>
    <t xml:space="preserve">  has diameter of</t>
  </si>
  <si>
    <t>Then</t>
  </si>
  <si>
    <t>Tube length</t>
  </si>
  <si>
    <t>Major result</t>
  </si>
  <si>
    <t>Parameters</t>
  </si>
  <si>
    <t>Inputs</t>
  </si>
  <si>
    <t xml:space="preserve">   keeping width</t>
  </si>
  <si>
    <t xml:space="preserve">   resulting dpi </t>
  </si>
  <si>
    <t>round</t>
  </si>
  <si>
    <t>Advisories</t>
  </si>
  <si>
    <t>in the image and to reduce (or eliminate) the allowance for mirrored duplication and the duplication margin.</t>
  </si>
  <si>
    <t xml:space="preserve">  different aspect ratio (AR).  This preparation is done in </t>
  </si>
  <si>
    <t xml:space="preserve">  required AR in the cropping tool and then moving the</t>
  </si>
  <si>
    <t xml:space="preserve">  crop boundaries to taste while holding the AR fixed.</t>
  </si>
  <si>
    <t xml:space="preserve">  contribute to the wrap than on another.  The worksheet</t>
  </si>
  <si>
    <t xml:space="preserve">  allows a different duplication margin in such a case.</t>
  </si>
  <si>
    <t>Gallery wrap calculations</t>
  </si>
  <si>
    <t>FYI</t>
  </si>
  <si>
    <t>Frame (bar) width</t>
  </si>
  <si>
    <t>Frame    (bar)    height</t>
  </si>
  <si>
    <t>"Standard" spreader bar lengths for canvas</t>
  </si>
  <si>
    <t>for non-Commercial use</t>
  </si>
  <si>
    <t>under the conditions of this licence as long as you Distribute under the same licence.</t>
  </si>
  <si>
    <t>This worksheet content is to be Attributed to Lester Gilbert.</t>
  </si>
  <si>
    <t>You are free to Share (to copy, distribute and transmit the worksheet content)</t>
  </si>
  <si>
    <t>and to Remix (to adapt the worksheet content)</t>
  </si>
  <si>
    <r>
      <rPr>
        <b/>
        <sz val="11"/>
        <color theme="4" tint="0.39997558519241921"/>
        <rFont val="Calibri"/>
        <family val="2"/>
        <scheme val="minor"/>
      </rPr>
      <t>then</t>
    </r>
    <r>
      <rPr>
        <sz val="11"/>
        <rFont val="Calibri"/>
        <family val="2"/>
        <scheme val="minor"/>
      </rPr>
      <t xml:space="preserve"> reqd edit ht is</t>
    </r>
  </si>
  <si>
    <r>
      <t xml:space="preserve">   </t>
    </r>
    <r>
      <rPr>
        <b/>
        <sz val="11"/>
        <color theme="4" tint="0.39997558519241921"/>
        <rFont val="Calibri"/>
        <family val="2"/>
        <scheme val="minor"/>
      </rPr>
      <t>then</t>
    </r>
    <r>
      <rPr>
        <sz val="11"/>
        <color theme="1"/>
        <rFont val="Calibri"/>
        <family val="2"/>
        <scheme val="minor"/>
      </rPr>
      <t xml:space="preserve"> reqd edit width is</t>
    </r>
  </si>
  <si>
    <t>As input above</t>
  </si>
  <si>
    <t>Ins and outs</t>
  </si>
  <si>
    <t>OR</t>
  </si>
  <si>
    <t xml:space="preserve">  (A "standard" tube has ID=10 cm, OD=10.8 cm)</t>
  </si>
  <si>
    <t>Step</t>
  </si>
  <si>
    <t xml:space="preserve">    Workflow, mainly for gallery wrap, but also for framed photo where image edges are masked by a matte</t>
  </si>
  <si>
    <t>App</t>
  </si>
  <si>
    <t>Do not rotate the image in Lightroom; edit it "normally".  Step 19 rotates a landscape image to fit portrait orientation paper or roll.</t>
  </si>
  <si>
    <t>Parameters (Step 1)</t>
  </si>
  <si>
    <t>Image duplication for wrap (Step 4)</t>
  </si>
  <si>
    <t>Resulting image requirements (Step 5)</t>
  </si>
  <si>
    <t xml:space="preserve">© 2023 Lester Gilbert, Creative Commons Attribution-Noncommercial-Share Alike 3.0 Unported Licence </t>
  </si>
  <si>
    <t>Input the desired spreader bar width and height.</t>
  </si>
  <si>
    <t>Decide on the duplication margin.  Can be different for width and height if necessary.</t>
  </si>
  <si>
    <t>A</t>
  </si>
  <si>
    <t>B</t>
  </si>
  <si>
    <t>C</t>
  </si>
  <si>
    <t>FYI, if AR needs changing</t>
  </si>
  <si>
    <t>Required inked margin</t>
  </si>
  <si>
    <t>Duplication required</t>
  </si>
  <si>
    <t xml:space="preserve">  [0=no, 1=yes]</t>
  </si>
  <si>
    <t>Frame (bar) height</t>
  </si>
  <si>
    <t>Margin reqd all round</t>
  </si>
  <si>
    <t>If there is image material that could be used to provide some (or all) of the necessary inked wrap margin, it is highly desirable to retain this</t>
  </si>
  <si>
    <t>Excel checks the fit of the print on the paper or roll (which is assumed in portrait orientation) and may suggest image rotation at Step 19 as needed.</t>
  </si>
  <si>
    <t>Set Snap to Page, to Guideline, and to Object.  Set units to inches.  Suggest setting nudge to ¼".</t>
  </si>
  <si>
    <t>Delete the duplication guidelines (if any).</t>
  </si>
  <si>
    <t>http://creativecommons.org/licenses/by-nc-sa/3.0/</t>
  </si>
  <si>
    <t>In "Color Management" (right-hand side):</t>
  </si>
  <si>
    <t>(a) Set Paper size as User Defined, source as Roll Paper or Sheet as appropriate, orientation as Portrait.</t>
  </si>
  <si>
    <t>(b) In "Properties…",  (i)  Set Media Type (eg, premium canvas satin), ensure Mode is Off (no color adjustment).</t>
  </si>
  <si>
    <r>
      <rPr>
        <sz val="11"/>
        <rFont val="Calibri"/>
        <family val="2"/>
        <scheme val="minor"/>
      </rPr>
      <t>(c)</t>
    </r>
    <r>
      <rPr>
        <sz val="11"/>
        <color rgb="FFFF0000"/>
        <rFont val="Calibri"/>
        <family val="2"/>
        <scheme val="minor"/>
      </rPr>
      <t xml:space="preserve"> BE SURE to &lt;TAB&gt; out of the height setting;  &lt;RETURN&gt; or &lt;ENTER&gt; discards the keystrokes!</t>
    </r>
  </si>
  <si>
    <t>Reqd image height</t>
  </si>
  <si>
    <t>duplic.</t>
  </si>
  <si>
    <t>Inked height</t>
  </si>
  <si>
    <t>FYI, other aspect ratios</t>
  </si>
  <si>
    <t>all</t>
  </si>
  <si>
    <t>inked</t>
  </si>
  <si>
    <t>margin)</t>
  </si>
  <si>
    <t>added)</t>
  </si>
  <si>
    <t>FYI, required image aspect ratios</t>
  </si>
  <si>
    <t>Canvas /sheet height</t>
  </si>
  <si>
    <t>Canvas roll/sheet width</t>
  </si>
  <si>
    <t>Inked width</t>
  </si>
  <si>
    <t>Canvas/sheet width</t>
  </si>
  <si>
    <t>Canvas/sheet height</t>
  </si>
  <si>
    <t>AR:</t>
  </si>
  <si>
    <t>Dup. margin left &amp; right</t>
  </si>
  <si>
    <t>Dup. margin top &amp; bottom</t>
  </si>
  <si>
    <t>Reqd height dup. if so</t>
  </si>
  <si>
    <t>Required image height</t>
  </si>
  <si>
    <t>pixels</t>
  </si>
  <si>
    <t>inches</t>
  </si>
  <si>
    <t>(incl 1.27 cm caps each end)</t>
  </si>
  <si>
    <t>Leave non-input cells alone!  Apparently 'simple' text and 'blank' cells have formulas!</t>
  </si>
  <si>
    <t xml:space="preserve">Print width check - </t>
  </si>
  <si>
    <t>height</t>
  </si>
  <si>
    <t>width</t>
  </si>
  <si>
    <t>land</t>
  </si>
  <si>
    <t>port</t>
  </si>
  <si>
    <t>A3</t>
  </si>
  <si>
    <t>A5</t>
  </si>
  <si>
    <t>FYI, postage tubes</t>
  </si>
  <si>
    <t xml:space="preserve">  1" is inked, ie nicely greater than the stretcher bar</t>
  </si>
  <si>
    <t xml:space="preserve">  thickness, to provide for the wrap of the canvas to the</t>
  </si>
  <si>
    <t xml:space="preserve">  frame.</t>
  </si>
  <si>
    <t xml:space="preserve">  a significant or important part of the print to the wrap.</t>
  </si>
  <si>
    <t xml:space="preserve">  (inked AR = 1.31) to provide for the 1" wrap.</t>
  </si>
  <si>
    <t xml:space="preserve">  ½" of material would be need to be added by mirroring and</t>
  </si>
  <si>
    <t xml:space="preserve">  re-crop it so as to include less important edge material to</t>
  </si>
  <si>
    <t xml:space="preserve">  be used in the wrap.</t>
  </si>
  <si>
    <t>Otherwise, wrap imagery can be added by duplicating</t>
  </si>
  <si>
    <t>Ver. 3</t>
  </si>
  <si>
    <t>Example working for canvas gallery wrap</t>
  </si>
  <si>
    <t xml:space="preserve">  its edges to the 1" wrap, perhaps ½", meaning that only</t>
  </si>
  <si>
    <t>17a</t>
  </si>
  <si>
    <t>Frame (Step 3)</t>
  </si>
  <si>
    <t xml:space="preserve">Revision - </t>
  </si>
  <si>
    <t xml:space="preserve">  would need to be first cropped to the inked AR of 1.31.  The</t>
  </si>
  <si>
    <t xml:space="preserve">  crop, and the 1" wrap, might lead to the loss of important</t>
  </si>
  <si>
    <t xml:space="preserve">  or significant detail to the image in view.</t>
  </si>
  <si>
    <t xml:space="preserve">  In this option, there is always concern whether the mirrored</t>
  </si>
  <si>
    <t xml:space="preserve">  additional material on the wrap might detract from the print.</t>
  </si>
  <si>
    <t>Resulting blank margin</t>
  </si>
  <si>
    <t>FYI results</t>
  </si>
  <si>
    <t>Import the Step 20 image.  Go to the LR &lt;Print&gt; window.  The following suggested printer dialogue is for the Epson SC-P800 driver.</t>
  </si>
  <si>
    <t xml:space="preserve">                                      (ii)  In "User Defined…", ensure Unit is inch (bottom of the window).</t>
  </si>
  <si>
    <t>b. Set Intent Perceptual.</t>
  </si>
  <si>
    <t>c. Set Print Adjustment.  For canvas, suggest Brightness +20 to +30, Contrast 0.</t>
  </si>
  <si>
    <r>
      <t xml:space="preserve">Click on "Page Setup …" (bottom </t>
    </r>
    <r>
      <rPr>
        <u/>
        <sz val="11"/>
        <color theme="1"/>
        <rFont val="Calibri"/>
        <family val="2"/>
        <scheme val="minor"/>
      </rPr>
      <t>left</t>
    </r>
    <r>
      <rPr>
        <sz val="11"/>
        <color theme="1"/>
        <rFont val="Calibri"/>
        <family val="2"/>
        <scheme val="minor"/>
      </rPr>
      <t xml:space="preserve"> of LR print window)</t>
    </r>
  </si>
  <si>
    <r>
      <t xml:space="preserve">Click on "Print" (bottom </t>
    </r>
    <r>
      <rPr>
        <u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 xml:space="preserve"> of LR print window).  Ignore awful print driver preview if present and click "Print" again.</t>
    </r>
  </si>
  <si>
    <t xml:space="preserve">  (image AR = 1.33) printed onto canvas and wrapped to a 19 × 14</t>
  </si>
  <si>
    <t xml:space="preserve">  frame (frame AR = 1.36).  The inked print needs to be 21 × 16</t>
  </si>
  <si>
    <t xml:space="preserve">  prepared to 20 × 15 with provision for ½" duplication all round </t>
  </si>
  <si>
    <t xml:space="preserve">  to give the required 21 × 16 inked print.</t>
  </si>
  <si>
    <t>In this last option, the AR of the required 20 × 15 is 1.33, so no</t>
  </si>
  <si>
    <t>Terms.  The image in view is presented by the frame, eg 14" × 17".  The inked image must be larger.  A gallery wrap requires additional imagery all</t>
  </si>
  <si>
    <t>round, eg an inked image of 16" × 19" (1" inked margin).  The canvas needs further margins for mounting to make it eg 17" × 20" (½" blank margin).</t>
  </si>
  <si>
    <t>5×4</t>
  </si>
  <si>
    <t>22×17</t>
  </si>
  <si>
    <t>16×12</t>
  </si>
  <si>
    <t>14×10</t>
  </si>
  <si>
    <t>12×8</t>
  </si>
  <si>
    <t>16×10</t>
  </si>
  <si>
    <t>10×8</t>
  </si>
  <si>
    <t>11×8.5</t>
  </si>
  <si>
    <t>8×6</t>
  </si>
  <si>
    <t>7×5</t>
  </si>
  <si>
    <t>6×4</t>
  </si>
  <si>
    <t>8×5</t>
  </si>
  <si>
    <t>Length + 2 × diameter must be no more than 104 cm (41")</t>
  </si>
  <si>
    <t>Photo (Step 2)</t>
  </si>
  <si>
    <t>Photo file name</t>
  </si>
  <si>
    <t>Photo width</t>
  </si>
  <si>
    <t>Photo height</t>
  </si>
  <si>
    <t xml:space="preserve">Simply printing the photo 1" larger all round usually loses </t>
  </si>
  <si>
    <t xml:space="preserve">If the photo was cropped originally, the better option is to </t>
  </si>
  <si>
    <t xml:space="preserve">  and mirroring the material at the edges of the photo.</t>
  </si>
  <si>
    <t>Editing a photo to prepare it for mirrored boundary</t>
  </si>
  <si>
    <t xml:space="preserve">  duplication may require the photo to be prepared with a</t>
  </si>
  <si>
    <t>It may be that a photo has more material on one edge to</t>
  </si>
  <si>
    <t>For example, consider a photo of 5184 × 3888 pixels</t>
  </si>
  <si>
    <t>One option is to print the photo out at 21 × 16, with no mirrored</t>
  </si>
  <si>
    <t xml:space="preserve">  duplication of image material at its boundaries.  The photo</t>
  </si>
  <si>
    <t>Or, print the photo out to the size of the frame at 19 × 14,</t>
  </si>
  <si>
    <t xml:space="preserve">  with mirrored duplication of the photo edges for the 1" wrap.</t>
  </si>
  <si>
    <t xml:space="preserve">  The photo would be cropped to the frame AR of 1.36.</t>
  </si>
  <si>
    <t>Or, inspect the photo and see if it could lose some of</t>
  </si>
  <si>
    <t>Review Notes A and B below.  Load the photo in Lightroom and prepare it.</t>
  </si>
  <si>
    <r>
      <t xml:space="preserve">Take a preliminary run through Steps 1 to 5, estimating the duplication margins involved, and crop the photo to the </t>
    </r>
    <r>
      <rPr>
        <sz val="11"/>
        <color rgb="FFFF0000"/>
        <rFont val="Calibri"/>
        <family val="2"/>
        <scheme val="minor"/>
      </rPr>
      <t>required image AR</t>
    </r>
    <r>
      <rPr>
        <sz val="11"/>
        <color theme="1"/>
        <rFont val="Calibri"/>
        <family val="2"/>
        <scheme val="minor"/>
      </rPr>
      <t>.</t>
    </r>
  </si>
  <si>
    <t>Input the photo width and height in pixels as shown in LR.</t>
  </si>
  <si>
    <t>If the photo does not originate in LR, enter its pixel dimensions as given in its file properties.</t>
  </si>
  <si>
    <t>Excel checks if additional imagery can be conveniently added to give the required inked image by comparing the required AR with the photo AR.</t>
  </si>
  <si>
    <t>Excel may suggest revision, to try a different duplication margin in Step 4, or to crop the photo in LR to the required image AR and return to Step 2.</t>
  </si>
  <si>
    <t>Delete the photo file on the desktop that was exported from LR in Step 6.</t>
  </si>
  <si>
    <t>IF photo AR needs to be changed</t>
  </si>
  <si>
    <t xml:space="preserve">Orientation check - </t>
  </si>
  <si>
    <t>AR difference</t>
  </si>
  <si>
    <t>AR tolerance</t>
  </si>
  <si>
    <t>Change default parameters as necessary.</t>
  </si>
  <si>
    <t>After printing, use LR to delete the print image imported in Step 21 earlier from both LR catalogue and computer.</t>
  </si>
  <si>
    <t>Import the photo, centre on the page.</t>
  </si>
  <si>
    <t>Create a new page (suggest A2) in Corel Draw that is portrait or landscape to suit the photo image orientation when printed.</t>
  </si>
  <si>
    <r>
      <t xml:space="preserve">Do not rescale the photo in Lightroom; only hold the </t>
    </r>
    <r>
      <rPr>
        <sz val="11"/>
        <color rgb="FFFF0000"/>
        <rFont val="Calibri"/>
        <family val="2"/>
        <scheme val="minor"/>
      </rPr>
      <t>required image AR</t>
    </r>
    <r>
      <rPr>
        <sz val="11"/>
        <color theme="1"/>
        <rFont val="Calibri"/>
        <family val="2"/>
        <scheme val="minor"/>
      </rPr>
      <t xml:space="preserve"> fixed when cropping to taste .  The photo is rescaled in Step 13.</t>
    </r>
  </si>
  <si>
    <t>The workflow starts with a photo that is prepared for printing by cropping as necessary to a 'required image' AR.  It is resized in Step 13 to become an image.</t>
  </si>
  <si>
    <t>When the wrap has been added to the image and it is ready for printing at Step 21, it is a print image.</t>
  </si>
  <si>
    <t>For a photo paper print to fit into a matted frame, set the frame width and height to the width and height of the matte aperture. If the matte covers the edge</t>
  </si>
  <si>
    <t>Export the photo as 100% quality JPEG/TIF to the desktop.  It may be useful to append "prep for print" or similar to the file name.</t>
  </si>
  <si>
    <t>Select image and guide rectangle, if any, and export as 100% quality JPEG/TIF to the desktop.  Append "print image" or similar to the file name.</t>
  </si>
  <si>
    <t>a. Select Profile.  For canvas, 'CMP P800 canvas premium'.  For photo paper, an appropriate photo paper profile.</t>
  </si>
  <si>
    <t>In this workflow, the actual addition of wrap imagery is done in Corel Draw.  The Lightroom task is to prepare a photo with suitable aspect ratio (AR).</t>
  </si>
  <si>
    <t>of the image ¼" all round, say, then set the paper width to frame width + ½", the inked margin and margin all round to ¼", and the duplication margin to 0".</t>
  </si>
  <si>
    <t xml:space="preserve">  the photo editor (eg Lightroom) by specifying the</t>
  </si>
  <si>
    <t xml:space="preserve">  duplicating boundaries.  In this case, the photo would be</t>
  </si>
  <si>
    <t xml:space="preserve">  change to the example photo is required, its AR is already 1.33</t>
  </si>
  <si>
    <t xml:space="preserve">  and well suited to providing ½" of a 1" wrap for a 19 × 14 frame.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</si>
</sst>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/>
    <xf numFmtId="0" fontId="0" fillId="3" borderId="0" xfId="0" applyFill="1"/>
    <xf numFmtId="0" fontId="0" fillId="0" borderId="0" xfId="0" applyFill="1"/>
    <xf numFmtId="0" fontId="0" fillId="0" borderId="0" xfId="0" quotePrefix="1"/>
    <xf numFmtId="2" fontId="0" fillId="0" borderId="0" xfId="0" applyNumberFormat="1" applyBorder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0" fillId="3" borderId="0" xfId="0" applyNumberFormat="1" applyFill="1"/>
    <xf numFmtId="0" fontId="3" fillId="2" borderId="0" xfId="0" applyFont="1" applyFill="1" applyAlignment="1">
      <alignment horizontal="center"/>
    </xf>
    <xf numFmtId="0" fontId="0" fillId="0" borderId="0" xfId="0" applyBorder="1"/>
    <xf numFmtId="2" fontId="0" fillId="3" borderId="4" xfId="0" applyNumberFormat="1" applyFill="1" applyBorder="1"/>
    <xf numFmtId="0" fontId="0" fillId="5" borderId="0" xfId="0" applyFill="1"/>
    <xf numFmtId="165" fontId="0" fillId="5" borderId="0" xfId="0" applyNumberFormat="1" applyFill="1"/>
    <xf numFmtId="0" fontId="1" fillId="0" borderId="0" xfId="0" applyFont="1"/>
    <xf numFmtId="0" fontId="0" fillId="0" borderId="6" xfId="0" applyBorder="1"/>
    <xf numFmtId="0" fontId="0" fillId="0" borderId="0" xfId="0" applyAlignment="1">
      <alignment horizontal="center"/>
    </xf>
    <xf numFmtId="0" fontId="9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0" fillId="7" borderId="0" xfId="0" applyFill="1"/>
    <xf numFmtId="0" fontId="11" fillId="0" borderId="0" xfId="0" applyFont="1"/>
    <xf numFmtId="0" fontId="1" fillId="0" borderId="7" xfId="0" applyFont="1" applyBorder="1"/>
    <xf numFmtId="0" fontId="0" fillId="0" borderId="7" xfId="0" applyBorder="1"/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3" borderId="0" xfId="0" applyFill="1" applyAlignment="1">
      <alignment horizontal="center"/>
    </xf>
    <xf numFmtId="0" fontId="11" fillId="0" borderId="0" xfId="0" applyFont="1" applyBorder="1"/>
    <xf numFmtId="0" fontId="0" fillId="0" borderId="0" xfId="0" applyBorder="1" applyAlignment="1">
      <alignment horizontal="left"/>
    </xf>
    <xf numFmtId="0" fontId="0" fillId="3" borderId="0" xfId="0" applyFill="1" applyBorder="1"/>
    <xf numFmtId="0" fontId="1" fillId="0" borderId="7" xfId="0" applyFont="1" applyBorder="1" applyAlignment="1">
      <alignment horizontal="center"/>
    </xf>
    <xf numFmtId="0" fontId="0" fillId="0" borderId="0" xfId="0" applyAlignment="1"/>
    <xf numFmtId="0" fontId="8" fillId="0" borderId="6" xfId="1" applyBorder="1"/>
    <xf numFmtId="0" fontId="12" fillId="0" borderId="0" xfId="0" applyFont="1"/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0" fontId="0" fillId="2" borderId="6" xfId="0" applyFill="1" applyBorder="1" applyAlignment="1"/>
    <xf numFmtId="0" fontId="0" fillId="0" borderId="0" xfId="0" applyFill="1" applyBorder="1"/>
    <xf numFmtId="0" fontId="0" fillId="0" borderId="7" xfId="0" applyBorder="1" applyAlignment="1"/>
    <xf numFmtId="0" fontId="0" fillId="0" borderId="0" xfId="0" applyBorder="1" applyAlignment="1">
      <alignment horizontal="right"/>
    </xf>
    <xf numFmtId="0" fontId="0" fillId="4" borderId="0" xfId="0" applyFill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65" fontId="0" fillId="4" borderId="0" xfId="0" applyNumberFormat="1" applyFill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</xf>
    <xf numFmtId="165" fontId="0" fillId="3" borderId="0" xfId="0" applyNumberFormat="1" applyFill="1"/>
    <xf numFmtId="166" fontId="0" fillId="0" borderId="0" xfId="0" applyNumberForma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24"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5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3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5"/>
  <sheetViews>
    <sheetView showGridLines="0" tabSelected="1" zoomScale="90" zoomScaleNormal="90" workbookViewId="0">
      <selection activeCell="E7" sqref="E7"/>
    </sheetView>
  </sheetViews>
  <sheetFormatPr defaultRowHeight="15" x14ac:dyDescent="0.25"/>
  <cols>
    <col min="1" max="1" width="2.28515625" customWidth="1"/>
    <col min="2" max="5" width="7.5703125" customWidth="1"/>
    <col min="6" max="16" width="5.85546875" customWidth="1"/>
    <col min="17" max="25" width="6.28515625" customWidth="1"/>
    <col min="26" max="26" width="10.140625" customWidth="1"/>
    <col min="27" max="27" width="13" customWidth="1"/>
    <col min="28" max="28" width="5.7109375" style="15" customWidth="1"/>
    <col min="29" max="29" width="133.28515625" customWidth="1"/>
    <col min="31" max="31" width="11.42578125" customWidth="1"/>
  </cols>
  <sheetData>
    <row r="1" spans="1:29" ht="18.75" x14ac:dyDescent="0.3">
      <c r="A1" s="28" t="s">
        <v>37</v>
      </c>
      <c r="Y1" s="32" t="s">
        <v>60</v>
      </c>
      <c r="AC1" s="2" t="s">
        <v>121</v>
      </c>
    </row>
    <row r="3" spans="1:29" ht="15.75" thickBot="1" x14ac:dyDescent="0.3">
      <c r="B3" s="36" t="s">
        <v>50</v>
      </c>
      <c r="C3" s="37"/>
      <c r="D3" s="37"/>
      <c r="E3" s="75" t="s">
        <v>103</v>
      </c>
      <c r="F3" s="37"/>
      <c r="G3" s="37"/>
      <c r="H3" s="37"/>
      <c r="I3" s="21"/>
      <c r="J3" s="21"/>
      <c r="K3" s="21"/>
      <c r="L3" s="37"/>
      <c r="M3" s="37"/>
      <c r="N3" s="37"/>
      <c r="O3" s="37"/>
      <c r="P3" s="37"/>
      <c r="R3" s="36" t="s">
        <v>122</v>
      </c>
      <c r="S3" s="37"/>
      <c r="T3" s="37"/>
      <c r="U3" s="37"/>
      <c r="V3" s="37"/>
      <c r="W3" s="37"/>
      <c r="X3" s="37"/>
      <c r="Y3" s="37"/>
      <c r="AA3" s="36" t="s">
        <v>55</v>
      </c>
      <c r="AB3" s="44" t="s">
        <v>53</v>
      </c>
      <c r="AC3" s="38" t="s">
        <v>54</v>
      </c>
    </row>
    <row r="4" spans="1:29" ht="15.75" thickBot="1" x14ac:dyDescent="0.3">
      <c r="B4" s="20" t="s">
        <v>26</v>
      </c>
      <c r="E4" s="111" t="s">
        <v>25</v>
      </c>
      <c r="F4" s="111"/>
      <c r="I4" s="102" t="s">
        <v>24</v>
      </c>
      <c r="J4" s="103"/>
      <c r="K4" s="104"/>
      <c r="N4" s="110" t="s">
        <v>133</v>
      </c>
      <c r="O4" s="110"/>
      <c r="P4" s="110"/>
      <c r="R4" t="s">
        <v>10</v>
      </c>
      <c r="AA4" s="9" t="s">
        <v>5</v>
      </c>
      <c r="AC4" t="s">
        <v>177</v>
      </c>
    </row>
    <row r="5" spans="1:29" x14ac:dyDescent="0.25">
      <c r="C5" s="45"/>
      <c r="D5" s="45"/>
      <c r="E5" s="45"/>
      <c r="N5" s="112" t="s">
        <v>30</v>
      </c>
      <c r="O5" s="112"/>
      <c r="P5" s="112"/>
      <c r="R5" t="s">
        <v>112</v>
      </c>
      <c r="AA5" s="9"/>
      <c r="AC5" t="s">
        <v>178</v>
      </c>
    </row>
    <row r="6" spans="1:29" x14ac:dyDescent="0.25">
      <c r="B6" s="36" t="s">
        <v>57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R6" t="s">
        <v>113</v>
      </c>
      <c r="Z6" s="85"/>
      <c r="AA6" s="9"/>
      <c r="AC6" t="s">
        <v>192</v>
      </c>
    </row>
    <row r="7" spans="1:29" x14ac:dyDescent="0.25">
      <c r="D7" s="2" t="s">
        <v>91</v>
      </c>
      <c r="E7" s="77">
        <v>17</v>
      </c>
      <c r="F7" s="13" t="str">
        <f>CONCATENATE(""" (",ROUND(E7*2.54,1)," cm)")</f>
        <v>" (43.2 cm)</v>
      </c>
      <c r="K7" s="2" t="s">
        <v>71</v>
      </c>
      <c r="L7" s="77">
        <v>1.5</v>
      </c>
      <c r="M7" s="13" t="str">
        <f>CONCATENATE(""" (",ROUND(L7*2.54,1)," cm)")</f>
        <v>" (3.8 cm)</v>
      </c>
      <c r="R7" t="s">
        <v>114</v>
      </c>
      <c r="AA7" s="9"/>
      <c r="AC7" t="s">
        <v>56</v>
      </c>
    </row>
    <row r="8" spans="1:29" x14ac:dyDescent="0.25">
      <c r="D8" s="2" t="s">
        <v>67</v>
      </c>
      <c r="E8" s="77">
        <v>1</v>
      </c>
      <c r="F8" s="13" t="str">
        <f>CONCATENATE(""" (",ROUND(E8*2.54,1)," cm)")</f>
        <v>" (2.5 cm)</v>
      </c>
      <c r="K8" s="2" t="s">
        <v>132</v>
      </c>
      <c r="L8" s="83">
        <f>L7-E8</f>
        <v>0.5</v>
      </c>
      <c r="M8" s="13" t="str">
        <f>CONCATENATE(""" (",ROUND(L8*2.54,1)," cm)")</f>
        <v>" (1.3 cm)</v>
      </c>
      <c r="AA8" s="9" t="s">
        <v>8</v>
      </c>
      <c r="AB8" s="15">
        <v>1</v>
      </c>
      <c r="AC8" t="s">
        <v>188</v>
      </c>
    </row>
    <row r="9" spans="1:29" x14ac:dyDescent="0.25">
      <c r="F9" t="str">
        <f>IF(L8&lt;0,"Inked margin cannot be more than all-round margin","")</f>
        <v/>
      </c>
      <c r="R9" t="s">
        <v>164</v>
      </c>
      <c r="AA9" s="9" t="s">
        <v>8</v>
      </c>
      <c r="AB9" s="15">
        <v>2</v>
      </c>
      <c r="AC9" s="6" t="s">
        <v>179</v>
      </c>
    </row>
    <row r="10" spans="1:29" x14ac:dyDescent="0.25">
      <c r="B10" s="36" t="s">
        <v>160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R10" t="s">
        <v>115</v>
      </c>
      <c r="AA10" s="9" t="s">
        <v>8</v>
      </c>
      <c r="AC10" t="s">
        <v>180</v>
      </c>
    </row>
    <row r="11" spans="1:29" x14ac:dyDescent="0.25">
      <c r="D11" s="2" t="s">
        <v>161</v>
      </c>
      <c r="E11" s="78" t="s">
        <v>4</v>
      </c>
      <c r="F11" s="73"/>
      <c r="G11" s="7"/>
      <c r="P11" s="27" t="s">
        <v>95</v>
      </c>
      <c r="AA11" t="s">
        <v>8</v>
      </c>
      <c r="AB11" s="15">
        <v>3</v>
      </c>
      <c r="AC11" s="6" t="s">
        <v>61</v>
      </c>
    </row>
    <row r="12" spans="1:29" x14ac:dyDescent="0.25">
      <c r="D12" s="2" t="s">
        <v>162</v>
      </c>
      <c r="E12" s="79">
        <v>5184</v>
      </c>
      <c r="F12" t="s">
        <v>100</v>
      </c>
      <c r="K12" s="2" t="s">
        <v>163</v>
      </c>
      <c r="L12" s="79">
        <v>3888</v>
      </c>
      <c r="M12" t="s">
        <v>100</v>
      </c>
      <c r="P12" s="40">
        <f>ROUND(E12/L12,3)</f>
        <v>1.333</v>
      </c>
      <c r="R12" t="s">
        <v>165</v>
      </c>
      <c r="AA12" s="6" t="s">
        <v>8</v>
      </c>
      <c r="AB12" s="15">
        <v>4</v>
      </c>
      <c r="AC12" s="6" t="s">
        <v>62</v>
      </c>
    </row>
    <row r="13" spans="1:29" x14ac:dyDescent="0.25">
      <c r="R13" t="s">
        <v>118</v>
      </c>
      <c r="AA13" s="6" t="s">
        <v>8</v>
      </c>
      <c r="AB13" s="15">
        <v>5</v>
      </c>
      <c r="AC13" s="6" t="s">
        <v>181</v>
      </c>
    </row>
    <row r="14" spans="1:29" x14ac:dyDescent="0.25">
      <c r="B14" s="36" t="s">
        <v>125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R14" t="s">
        <v>119</v>
      </c>
      <c r="AA14" s="6" t="s">
        <v>8</v>
      </c>
      <c r="AC14" s="6" t="s">
        <v>182</v>
      </c>
    </row>
    <row r="15" spans="1:29" x14ac:dyDescent="0.25">
      <c r="D15" s="2" t="s">
        <v>39</v>
      </c>
      <c r="E15" s="79">
        <v>19</v>
      </c>
      <c r="F15" s="13" t="str">
        <f>CONCATENATE(""" (",ROUND(E15*2.54,1)," cm)")</f>
        <v>" (48.3 cm)</v>
      </c>
      <c r="K15" s="2" t="s">
        <v>70</v>
      </c>
      <c r="L15" s="79">
        <v>14</v>
      </c>
      <c r="M15" s="13" t="str">
        <f>CONCATENATE(""" (",ROUND(L15*2.54,1)," cm)")</f>
        <v>" (35.6 cm)</v>
      </c>
      <c r="P15" s="40">
        <f t="shared" ref="P15" si="0">ROUND(E15/L15,2)</f>
        <v>1.36</v>
      </c>
      <c r="AA15" s="6" t="s">
        <v>8</v>
      </c>
      <c r="AC15" t="s">
        <v>73</v>
      </c>
    </row>
    <row r="16" spans="1:29" x14ac:dyDescent="0.25">
      <c r="D16" s="2" t="s">
        <v>92</v>
      </c>
      <c r="E16" s="40">
        <f>E15+2*E8</f>
        <v>21</v>
      </c>
      <c r="F16" s="13" t="str">
        <f>CONCATENATE(""" (",ROUND(E16*2.54,1)," cm)")</f>
        <v>" (53.3 cm)</v>
      </c>
      <c r="K16" s="2" t="s">
        <v>83</v>
      </c>
      <c r="L16" s="40">
        <f>L15+2*E8</f>
        <v>16</v>
      </c>
      <c r="M16" s="13" t="str">
        <f>CONCATENATE(""" (",ROUND(L16*2.54,1)," cm)")</f>
        <v>" (40.6 cm)</v>
      </c>
      <c r="P16" s="40">
        <f>ROUND(E16/L16,2)</f>
        <v>1.31</v>
      </c>
      <c r="R16" t="s">
        <v>120</v>
      </c>
      <c r="AA16" s="9" t="s">
        <v>5</v>
      </c>
      <c r="AB16" s="15">
        <v>6</v>
      </c>
      <c r="AC16" s="6" t="s">
        <v>196</v>
      </c>
    </row>
    <row r="17" spans="2:29" x14ac:dyDescent="0.25">
      <c r="D17" s="2" t="s">
        <v>93</v>
      </c>
      <c r="E17" s="40">
        <f>E15+2*L7</f>
        <v>22</v>
      </c>
      <c r="F17" s="13" t="str">
        <f>CONCATENATE(""" (",ROUND(E17*2.54,1)," cm)")</f>
        <v>" (55.9 cm)</v>
      </c>
      <c r="K17" s="2" t="s">
        <v>94</v>
      </c>
      <c r="L17" s="40">
        <f>L15+2*L7</f>
        <v>17</v>
      </c>
      <c r="M17" s="13" t="str">
        <f>CONCATENATE(""" (",ROUND(L17*2.54,1)," cm)")</f>
        <v>" (43.2 cm)</v>
      </c>
      <c r="P17" s="40">
        <f>ROUND(E17/L17,2)</f>
        <v>1.29</v>
      </c>
      <c r="R17" t="s">
        <v>166</v>
      </c>
    </row>
    <row r="18" spans="2:29" x14ac:dyDescent="0.25">
      <c r="E18" s="47">
        <f>IFERROR(MATCH(E15,$F$36:$P$36,0),"Not a standard bar length")</f>
        <v>7</v>
      </c>
      <c r="L18" s="47">
        <f>IFERROR(MATCH(L15,$F$36:$P$36,0),"Not a standard bar length")</f>
        <v>5</v>
      </c>
      <c r="AA18" s="8" t="s">
        <v>6</v>
      </c>
      <c r="AB18" s="15">
        <v>7</v>
      </c>
      <c r="AC18" s="8" t="s">
        <v>191</v>
      </c>
    </row>
    <row r="19" spans="2:29" x14ac:dyDescent="0.25">
      <c r="B19" s="36" t="s">
        <v>58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R19" t="s">
        <v>167</v>
      </c>
      <c r="AA19" s="8" t="s">
        <v>6</v>
      </c>
      <c r="AC19" s="10" t="s">
        <v>74</v>
      </c>
    </row>
    <row r="20" spans="2:29" x14ac:dyDescent="0.25">
      <c r="D20" s="2" t="s">
        <v>68</v>
      </c>
      <c r="E20" s="79">
        <v>0.5</v>
      </c>
      <c r="F20" s="13" t="str">
        <f>IF(E20&lt;=E8,CONCATENATE(""" (",ROUND(E20*2.54,1)," cm)"),CONCATENATE(""" (",ROUND(E20*2.54,1)," cm) -- Cannot be more than the inked margin!"))</f>
        <v>" (1.3 cm)</v>
      </c>
      <c r="R20" t="s">
        <v>168</v>
      </c>
      <c r="AA20" s="8" t="s">
        <v>6</v>
      </c>
      <c r="AB20" s="15">
        <v>8</v>
      </c>
      <c r="AC20" s="8" t="str">
        <f>CONCATENATE("Draw a rectangle on the page that is the size of the frame (the image in view -- ",E15,""" × ",L15,""").  Snap its centre to the page centre.")</f>
        <v>Draw a rectangle on the page that is the size of the frame (the image in view -- 19" × 14").  Snap its centre to the page centre.</v>
      </c>
    </row>
    <row r="21" spans="2:29" x14ac:dyDescent="0.25">
      <c r="D21" s="2" t="s">
        <v>13</v>
      </c>
      <c r="E21" s="80">
        <v>0</v>
      </c>
      <c r="F21" t="s">
        <v>69</v>
      </c>
      <c r="G21" s="12"/>
      <c r="K21" s="2" t="s">
        <v>98</v>
      </c>
      <c r="L21" s="79">
        <v>0</v>
      </c>
      <c r="M21" s="13" t="str">
        <f>CONCATENATE(""" (",ROUND(L21*2.54,1)," cm)")</f>
        <v>" (0 cm)</v>
      </c>
      <c r="R21" t="s">
        <v>32</v>
      </c>
      <c r="AA21" s="8" t="s">
        <v>6</v>
      </c>
      <c r="AB21" s="15">
        <v>9</v>
      </c>
      <c r="AC21" s="8" t="str">
        <f>CONCATENATE("Snap guidelines onto the rectangle edges, ",IF(E8=0,"no nudge,",CONCATENATE(" and then nudge each out ",E8,""""))," to give the inked image guidelines.")</f>
        <v>Snap guidelines onto the rectangle edges,  and then nudge each out 1" to give the inked image guidelines.</v>
      </c>
    </row>
    <row r="22" spans="2:29" x14ac:dyDescent="0.25">
      <c r="D22" s="2" t="s">
        <v>96</v>
      </c>
      <c r="E22" s="40">
        <f>E20</f>
        <v>0.5</v>
      </c>
      <c r="F22" s="13" t="str">
        <f>CONCATENATE(""" (",ROUND(E22*2.54,1)," cm)")</f>
        <v>" (1.3 cm)</v>
      </c>
      <c r="K22" s="2" t="s">
        <v>97</v>
      </c>
      <c r="L22" s="40">
        <f>IF(E21=0,E20,L21)</f>
        <v>0.5</v>
      </c>
      <c r="M22" s="13" t="str">
        <f>CONCATENATE(""" (",ROUND(L22*2.54,1)," cm)")</f>
        <v>" (1.3 cm)</v>
      </c>
      <c r="R22" t="s">
        <v>201</v>
      </c>
      <c r="AA22" s="8" t="s">
        <v>6</v>
      </c>
      <c r="AB22" s="27">
        <v>10</v>
      </c>
      <c r="AC22" s="100" t="str">
        <f>CONCATENATE(IF(E22=0,"No width duplication.",CONCATENATE("Snap further left &amp; right guidelines onto the rectangle",IF(E8-E22=0,", no nudge,",CONCATENATE(" and then nudge each out ",E8-E22))," to give the duplication width guidelines.")),IF(L22=0,"  No height duplication.",CONCATENATE("  Snap further top &amp; bottom guidelines onto the rectangle",IF(E8-L22=0,", no nudge,",CONCATENATE(" and then nudge each out ",E8-L22))," to give the duplication height guidelines.")))</f>
        <v>Snap further left &amp; right guidelines onto the rectangle and then nudge each out 0.5 to give the duplication width guidelines.  Snap further top &amp; bottom guidelines onto the rectangle and then nudge each out 0.5 to give the duplication height guidelines.</v>
      </c>
    </row>
    <row r="23" spans="2:29" x14ac:dyDescent="0.25">
      <c r="R23" t="s">
        <v>33</v>
      </c>
      <c r="AC23" s="100"/>
    </row>
    <row r="24" spans="2:29" x14ac:dyDescent="0.25">
      <c r="B24" s="36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R24" t="s">
        <v>34</v>
      </c>
      <c r="AA24" s="8" t="s">
        <v>6</v>
      </c>
      <c r="AB24" s="15">
        <v>11</v>
      </c>
      <c r="AC24" s="8" t="s">
        <v>16</v>
      </c>
    </row>
    <row r="25" spans="2:29" ht="15.75" thickBot="1" x14ac:dyDescent="0.3">
      <c r="D25" s="2" t="s">
        <v>14</v>
      </c>
      <c r="E25" s="40">
        <f>E15+2*(E8-E22)</f>
        <v>20</v>
      </c>
      <c r="F25" s="13" t="str">
        <f>CONCATENATE(""" (",ROUND(E25*2.54,1)," cm)")</f>
        <v>" (50.8 cm)</v>
      </c>
      <c r="K25" s="2" t="s">
        <v>99</v>
      </c>
      <c r="L25" s="40">
        <f>L15+2*(E8-L22)</f>
        <v>15</v>
      </c>
      <c r="M25" s="13" t="str">
        <f>CONCATENATE(""" (",ROUND(L25*2.54,1)," cm)")</f>
        <v>" (38.1 cm)</v>
      </c>
      <c r="AA25" s="8" t="s">
        <v>6</v>
      </c>
      <c r="AB25" s="15">
        <v>12</v>
      </c>
      <c r="AC25" s="8" t="s">
        <v>190</v>
      </c>
    </row>
    <row r="26" spans="2:29" ht="15.75" thickBot="1" x14ac:dyDescent="0.3">
      <c r="D26" s="71" t="s">
        <v>15</v>
      </c>
      <c r="E26" s="72">
        <f>ROUND(E25/L25,3)</f>
        <v>1.333</v>
      </c>
      <c r="K26" s="2" t="s">
        <v>187</v>
      </c>
      <c r="L26" s="81">
        <v>4.0000000000000001E-3</v>
      </c>
      <c r="M26" t="str">
        <f>CONCATENATE("(approx ",ROUND(L26*E12,0)," px, ",ROUND(L26*E15,2),""", ",ROUND(L26*E15*2.54,1)," cm)")</f>
        <v>(approx 21 px, 0.08", 0.2 cm)</v>
      </c>
      <c r="R26" t="s">
        <v>169</v>
      </c>
      <c r="AA26" s="8" t="s">
        <v>6</v>
      </c>
      <c r="AB26" s="15">
        <v>13</v>
      </c>
      <c r="AC26" s="8" t="str">
        <f>CONCATENATE("Resize the photo, fitting it to the ",IF(E22=0,"inked image width","duplication width")," and ",IF(L22=0,"inked image height","duplication height")," guidelines.  If an imperfect fit, ensure every guideline is on, or inside, the image.")</f>
        <v>Resize the photo, fitting it to the duplication width and duplication height guidelines.  If an imperfect fit, ensure every guideline is on, or inside, the image.</v>
      </c>
    </row>
    <row r="27" spans="2:29" x14ac:dyDescent="0.25">
      <c r="K27" s="2" t="s">
        <v>186</v>
      </c>
      <c r="L27" s="84">
        <f>ABS(ROUND(P12,2)-ROUND(E26,2))</f>
        <v>0</v>
      </c>
      <c r="M27" t="str">
        <f>CONCATENATE("(approx ",ROUND(L27*E12,0)," px, ",ROUND(L27*E15,2),""", ",ROUND(L27*E15*2.54,1)," cm)")</f>
        <v>(approx 0 px, 0", 0 cm)</v>
      </c>
      <c r="R27" t="s">
        <v>35</v>
      </c>
      <c r="AA27" s="8" t="s">
        <v>6</v>
      </c>
      <c r="AB27" s="15">
        <v>14</v>
      </c>
      <c r="AC27" s="8" t="s">
        <v>75</v>
      </c>
    </row>
    <row r="28" spans="2:29" x14ac:dyDescent="0.25">
      <c r="R28" t="s">
        <v>36</v>
      </c>
      <c r="AA28" s="8" t="s">
        <v>6</v>
      </c>
      <c r="AB28" s="15">
        <v>15</v>
      </c>
      <c r="AC28" s="8" t="str">
        <f>IF(E20&gt;0,"Duplicate the image, then &lt;CTRL&gt; flip the duplicate up, down, left, or right.  This positions the mirrored duplicate on the top, bottom, left, or right image edge.","No image duplication set.")</f>
        <v>Duplicate the image, then &lt;CTRL&gt; flip the duplicate up, down, left, or right.  This positions the mirrored duplicate on the top, bottom, left, or right image edge.</v>
      </c>
    </row>
    <row r="29" spans="2:29" x14ac:dyDescent="0.25">
      <c r="D29" s="2" t="s">
        <v>126</v>
      </c>
      <c r="E29" s="74" t="str">
        <f>IF(ABS(E12/L12-E26)&lt;L26,CONCATENATE("NOT required, AR difference of ",L27," within ",L26," tolerance"),CONCATENATE("IS advised, AR difference &gt; tolerance.  Change dup. margin in Step ",AB12," or photo AR in"))</f>
        <v>NOT required, AR difference of 0 within 0.004 tolerance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AA29" s="8" t="s">
        <v>6</v>
      </c>
      <c r="AB29" s="15">
        <v>16</v>
      </c>
      <c r="AC29" s="8" t="str">
        <f>IF(E20&gt;0,"Knife the duplicate along the inked image guideline and delete excess outside the guideline.  Repeat for each edge, including the new material as needed.","No image duplication set.")</f>
        <v>Knife the duplicate along the inked image guideline and delete excess outside the guideline.  Repeat for each edge, including the new material as needed.</v>
      </c>
    </row>
    <row r="30" spans="2:29" x14ac:dyDescent="0.25">
      <c r="E30" t="str">
        <f>IF(LEFT(E29,2)="IS",CONCATENATE("LR and return to Step ",AB9,".  Otherwise, the ",ROUND(L27*E15,2),""" difference is handled in Steps 13-16."),"")</f>
        <v/>
      </c>
      <c r="R30" t="s">
        <v>170</v>
      </c>
      <c r="AA30" s="8" t="s">
        <v>6</v>
      </c>
      <c r="AB30" s="15">
        <v>17</v>
      </c>
      <c r="AC30" s="8" t="str">
        <f>IF(L8&gt;0,CONCATENATE("Nudge each inked image guideline out by ",L8,""" to give all-round canvas guidelines of ",L7,""" around the image in view area."),"No guide rectangle required.")</f>
        <v>Nudge each inked image guideline out by 0.5" to give all-round canvas guidelines of 1.5" around the image in view area.</v>
      </c>
    </row>
    <row r="31" spans="2:29" x14ac:dyDescent="0.25">
      <c r="D31" s="2" t="s">
        <v>185</v>
      </c>
      <c r="E31" s="11" t="str">
        <f>IF(E32="Will not fit",E32,IF(E17&gt;E7,CONCATENATE("Rotate the image at Step ",AB34),IF(AND(E17=E7,L17&lt;E7),CONCATENATE("Consider rotation at Step ",AB34),"OK")))</f>
        <v>Rotate the image at Step 19</v>
      </c>
      <c r="R31" t="s">
        <v>140</v>
      </c>
      <c r="AA31" s="8" t="s">
        <v>6</v>
      </c>
      <c r="AB31" s="15" t="s">
        <v>124</v>
      </c>
      <c r="AC31" s="8" t="str">
        <f>IF(LEFT(E32,5)="Tight",CONCATENATE("Note:  The printer may not print to the full width.  ",IF(L8&gt;0,CONCATENATE("Set the canvas guidelines back by ¼"" to ",L7-0.25,"""."),CONCATENATE("Consider adjusting the inked margin.  No guide rectangle required."))),"No note.")</f>
        <v>Note:  The printer may not print to the full width.  Set the canvas guidelines back by ¼" to 1.25".</v>
      </c>
    </row>
    <row r="32" spans="2:29" x14ac:dyDescent="0.25">
      <c r="D32" s="2" t="s">
        <v>104</v>
      </c>
      <c r="E32" t="str">
        <f>IF(AND(E17&lt;E7,L17&lt;E7),"OK",IF(OR(E17=E7,AND(E17&gt;E7,L17=E7)),CONCATENATE("Tight fit, see Step ",AB31),IF(OR(E17&lt;=E7,L17&lt;=E7),"OK","Will not fit")))</f>
        <v>Tight fit, see Step 17a</v>
      </c>
      <c r="R32" t="s">
        <v>141</v>
      </c>
      <c r="AA32" s="8" t="s">
        <v>6</v>
      </c>
      <c r="AB32" s="15">
        <v>18</v>
      </c>
      <c r="AC32" s="8" t="str">
        <f>IF(L8&gt;0,"Draw a rectangle snapped to the canvas guidelines.  Format the rectangle as 0.5 mm dots.  It is to be printed as a guide rectangle.","No guide rectangle required.")</f>
        <v>Draw a rectangle snapped to the canvas guidelines.  Format the rectangle as 0.5 mm dots.  It is to be printed as a guide rectangle.</v>
      </c>
    </row>
    <row r="33" spans="2:29" x14ac:dyDescent="0.25">
      <c r="R33" t="s">
        <v>116</v>
      </c>
      <c r="AA33" s="8" t="s">
        <v>6</v>
      </c>
      <c r="AC33" s="8" t="str">
        <f>IF(L8&gt;0,"The guide rectangle is used to position the image in the Lightroom print dialogue, and then to position the canvas on the frame during assembly.","No guide rectangle required.")</f>
        <v>The guide rectangle is used to position the image in the Lightroom print dialogue, and then to position the canvas on the frame during assembly.</v>
      </c>
    </row>
    <row r="34" spans="2:29" x14ac:dyDescent="0.25">
      <c r="B34" s="29" t="s">
        <v>89</v>
      </c>
      <c r="C34" s="21"/>
      <c r="D34" s="2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AA34" s="8" t="s">
        <v>6</v>
      </c>
      <c r="AB34" s="15">
        <v>19</v>
      </c>
      <c r="AC34" s="8" t="str">
        <f>IF(LEFT(E31,2)="OK","No rotation required.",IF(LEFT(E31,6)="Rotate","As required by the check in Step 5, select image and guide rectangle, if any, and rotate by 90°.","As suggested by the check in Step 5, consider selecting all (image and rectangle, if any) and rotating by 90° to avoid the tight fit."))</f>
        <v>As required by the check in Step 5, select image and guide rectangle, if any, and rotate by 90°.</v>
      </c>
    </row>
    <row r="35" spans="2:29" x14ac:dyDescent="0.25">
      <c r="B35" s="26"/>
      <c r="C35" s="26"/>
      <c r="D35" s="26"/>
      <c r="E35" s="109" t="s">
        <v>41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R35" t="s">
        <v>171</v>
      </c>
      <c r="AA35" s="8" t="s">
        <v>6</v>
      </c>
      <c r="AB35" s="15">
        <v>20</v>
      </c>
      <c r="AC35" s="8" t="s">
        <v>197</v>
      </c>
    </row>
    <row r="36" spans="2:29" x14ac:dyDescent="0.25">
      <c r="E36" s="30" t="s">
        <v>101</v>
      </c>
      <c r="F36" s="82">
        <v>8</v>
      </c>
      <c r="G36" s="82">
        <v>10</v>
      </c>
      <c r="H36" s="82">
        <v>11</v>
      </c>
      <c r="I36" s="82">
        <v>12</v>
      </c>
      <c r="J36" s="82">
        <v>14</v>
      </c>
      <c r="K36" s="82">
        <v>16</v>
      </c>
      <c r="L36" s="82">
        <v>19</v>
      </c>
      <c r="M36" s="82">
        <v>22</v>
      </c>
      <c r="N36" s="82">
        <v>26</v>
      </c>
      <c r="O36" s="82">
        <v>30</v>
      </c>
      <c r="P36" s="82">
        <v>38</v>
      </c>
      <c r="R36" t="s">
        <v>172</v>
      </c>
    </row>
    <row r="37" spans="2:29" x14ac:dyDescent="0.25">
      <c r="E37" s="30" t="s">
        <v>0</v>
      </c>
      <c r="F37" s="31">
        <f>2.54*F36</f>
        <v>20.32</v>
      </c>
      <c r="G37" s="31">
        <f t="shared" ref="G37:P37" si="1">2.54*G36</f>
        <v>25.4</v>
      </c>
      <c r="H37" s="31">
        <f t="shared" si="1"/>
        <v>27.94</v>
      </c>
      <c r="I37" s="31">
        <f t="shared" si="1"/>
        <v>30.48</v>
      </c>
      <c r="J37" s="31">
        <f t="shared" si="1"/>
        <v>35.56</v>
      </c>
      <c r="K37" s="31">
        <f t="shared" si="1"/>
        <v>40.64</v>
      </c>
      <c r="L37" s="31">
        <f t="shared" si="1"/>
        <v>48.26</v>
      </c>
      <c r="M37" s="31">
        <f t="shared" si="1"/>
        <v>55.88</v>
      </c>
      <c r="N37" s="31">
        <f t="shared" si="1"/>
        <v>66.040000000000006</v>
      </c>
      <c r="O37" s="31">
        <f t="shared" si="1"/>
        <v>76.2</v>
      </c>
      <c r="P37" s="31">
        <f t="shared" si="1"/>
        <v>96.52</v>
      </c>
      <c r="R37" t="s">
        <v>127</v>
      </c>
      <c r="AA37" s="9" t="s">
        <v>5</v>
      </c>
      <c r="AB37" s="15">
        <v>21</v>
      </c>
      <c r="AC37" s="6" t="s">
        <v>134</v>
      </c>
    </row>
    <row r="38" spans="2:29" x14ac:dyDescent="0.25">
      <c r="R38" t="s">
        <v>128</v>
      </c>
      <c r="AA38" s="9" t="s">
        <v>5</v>
      </c>
      <c r="AB38" s="15">
        <v>22</v>
      </c>
      <c r="AC38" s="6" t="s">
        <v>138</v>
      </c>
    </row>
    <row r="39" spans="2:29" ht="15" customHeight="1" x14ac:dyDescent="0.25">
      <c r="F39" s="105" t="s">
        <v>39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R39" t="s">
        <v>129</v>
      </c>
      <c r="AA39" s="9" t="s">
        <v>5</v>
      </c>
      <c r="AC39" s="6" t="s">
        <v>78</v>
      </c>
    </row>
    <row r="40" spans="2:29" x14ac:dyDescent="0.25">
      <c r="B40" s="34" t="s">
        <v>49</v>
      </c>
      <c r="C40" s="34"/>
      <c r="F40" s="58">
        <f t="shared" ref="F40:P40" si="2">F36</f>
        <v>8</v>
      </c>
      <c r="G40" s="58">
        <f t="shared" si="2"/>
        <v>10</v>
      </c>
      <c r="H40" s="58">
        <f t="shared" si="2"/>
        <v>11</v>
      </c>
      <c r="I40" s="58">
        <f t="shared" si="2"/>
        <v>12</v>
      </c>
      <c r="J40" s="58">
        <f t="shared" si="2"/>
        <v>14</v>
      </c>
      <c r="K40" s="58">
        <f t="shared" si="2"/>
        <v>16</v>
      </c>
      <c r="L40" s="58">
        <f t="shared" si="2"/>
        <v>19</v>
      </c>
      <c r="M40" s="58">
        <f t="shared" si="2"/>
        <v>22</v>
      </c>
      <c r="N40" s="58">
        <f t="shared" si="2"/>
        <v>26</v>
      </c>
      <c r="O40" s="58">
        <f t="shared" si="2"/>
        <v>30</v>
      </c>
      <c r="P40" s="58">
        <f t="shared" si="2"/>
        <v>38</v>
      </c>
      <c r="AA40" s="9" t="s">
        <v>5</v>
      </c>
      <c r="AC40" s="6" t="s">
        <v>79</v>
      </c>
    </row>
    <row r="41" spans="2:29" x14ac:dyDescent="0.25">
      <c r="F41" s="106" t="str">
        <f>CONCATENATE("Canvas / sheet width (",L7,""" margin all round)")</f>
        <v>Canvas / sheet width (1.5" margin all round)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R41" t="s">
        <v>173</v>
      </c>
      <c r="AA41" s="9" t="s">
        <v>5</v>
      </c>
      <c r="AC41" s="6" t="s">
        <v>135</v>
      </c>
    </row>
    <row r="42" spans="2:29" x14ac:dyDescent="0.25">
      <c r="F42" s="59">
        <f t="shared" ref="F42:P42" si="3">F$40+2*$L$7</f>
        <v>11</v>
      </c>
      <c r="G42" s="60">
        <f t="shared" si="3"/>
        <v>13</v>
      </c>
      <c r="H42" s="60">
        <f t="shared" si="3"/>
        <v>14</v>
      </c>
      <c r="I42" s="60">
        <f t="shared" si="3"/>
        <v>15</v>
      </c>
      <c r="J42" s="60">
        <f t="shared" si="3"/>
        <v>17</v>
      </c>
      <c r="K42" s="60">
        <f t="shared" si="3"/>
        <v>19</v>
      </c>
      <c r="L42" s="60">
        <f t="shared" si="3"/>
        <v>22</v>
      </c>
      <c r="M42" s="60">
        <f t="shared" si="3"/>
        <v>25</v>
      </c>
      <c r="N42" s="60">
        <f t="shared" si="3"/>
        <v>29</v>
      </c>
      <c r="O42" s="60">
        <f t="shared" si="3"/>
        <v>33</v>
      </c>
      <c r="P42" s="61">
        <f t="shared" si="3"/>
        <v>41</v>
      </c>
      <c r="R42" t="s">
        <v>174</v>
      </c>
      <c r="AA42" s="9" t="s">
        <v>5</v>
      </c>
      <c r="AC42" s="6" t="str">
        <f>CONCATENATE("                                     (iii)  Set Paper Width to ",E7,""", set Paper Height to ",IF(LEFT(E31,6)="Rotate",E17,L17),""".")</f>
        <v xml:space="preserve">                                     (iii)  Set Paper Width to 17", set Paper Height to 22".</v>
      </c>
    </row>
    <row r="43" spans="2:29" ht="15" customHeight="1" x14ac:dyDescent="0.25">
      <c r="F43" s="101" t="str">
        <f>CONCATENATE("Inked width (",E8,""" inked margin all round)")</f>
        <v>Inked width (1" inked margin all round)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R43" t="s">
        <v>175</v>
      </c>
      <c r="AA43" s="9" t="s">
        <v>5</v>
      </c>
      <c r="AC43" s="18" t="s">
        <v>80</v>
      </c>
    </row>
    <row r="44" spans="2:29" x14ac:dyDescent="0.25">
      <c r="B44" s="56"/>
      <c r="C44" s="57"/>
      <c r="D44" s="57"/>
      <c r="E44" s="55"/>
      <c r="F44" s="48">
        <f t="shared" ref="F44:P44" si="4">F$40+2*$E$8</f>
        <v>10</v>
      </c>
      <c r="G44" s="48">
        <f t="shared" si="4"/>
        <v>12</v>
      </c>
      <c r="H44" s="48">
        <f t="shared" si="4"/>
        <v>13</v>
      </c>
      <c r="I44" s="48">
        <f t="shared" si="4"/>
        <v>14</v>
      </c>
      <c r="J44" s="48">
        <f t="shared" si="4"/>
        <v>16</v>
      </c>
      <c r="K44" s="48">
        <f t="shared" si="4"/>
        <v>18</v>
      </c>
      <c r="L44" s="48">
        <f t="shared" si="4"/>
        <v>21</v>
      </c>
      <c r="M44" s="48">
        <f t="shared" si="4"/>
        <v>24</v>
      </c>
      <c r="N44" s="48">
        <f t="shared" si="4"/>
        <v>28</v>
      </c>
      <c r="O44" s="48">
        <f t="shared" si="4"/>
        <v>32</v>
      </c>
      <c r="P44" s="48">
        <f t="shared" si="4"/>
        <v>40</v>
      </c>
      <c r="R44" t="s">
        <v>130</v>
      </c>
      <c r="AA44" s="9" t="s">
        <v>5</v>
      </c>
      <c r="AB44" s="15">
        <v>23</v>
      </c>
      <c r="AC44" s="6" t="str">
        <f>CONCATENATE("In the print window, drag the margins in the print view screen to ensure required size, observing display of size &amp; ppi.  Size should be ",IF(LEFT(E31,6)="Rotate",L17,E17),""" × ",IF(LEFT(E31,6)="Rotate",E17,L17),""".")</f>
        <v>In the print window, drag the margins in the print view screen to ensure required size, observing display of size &amp; ppi.  Size should be 17" × 22".</v>
      </c>
    </row>
    <row r="45" spans="2:29" ht="15" customHeight="1" x14ac:dyDescent="0.25">
      <c r="B45" s="88" t="s">
        <v>40</v>
      </c>
      <c r="C45" s="89" t="s">
        <v>90</v>
      </c>
      <c r="D45" s="91" t="s">
        <v>83</v>
      </c>
      <c r="E45" s="92" t="s">
        <v>81</v>
      </c>
      <c r="F45" s="94" t="s">
        <v>14</v>
      </c>
      <c r="G45" s="95"/>
      <c r="H45" s="95"/>
      <c r="I45" s="95"/>
      <c r="J45" s="95"/>
      <c r="K45" s="95"/>
      <c r="L45" s="95"/>
      <c r="M45" s="95"/>
      <c r="N45" s="95"/>
      <c r="O45" s="95"/>
      <c r="P45" s="96"/>
      <c r="R45" t="s">
        <v>131</v>
      </c>
      <c r="AA45" s="9" t="s">
        <v>5</v>
      </c>
      <c r="AC45" s="6" t="str">
        <f>CONCATENATE("Check page width is/remains ",E7,""".  Check at least ppi &gt; 75 for canvas, &gt; 150 for paper.  The ppi should correspond to the spreadsheet dpi estimate.")</f>
        <v>Check page width is/remains 17".  Check at least ppi &gt; 75 for canvas, &gt; 150 for paper.  The ppi should correspond to the spreadsheet dpi estimate.</v>
      </c>
    </row>
    <row r="46" spans="2:29" x14ac:dyDescent="0.25">
      <c r="B46" s="88"/>
      <c r="C46" s="90"/>
      <c r="D46" s="91"/>
      <c r="E46" s="93"/>
      <c r="F46" s="97" t="str">
        <f>CONCATENATE("(",E22,""" width duplication to be added to give inked width)")</f>
        <v>(0.5" width duplication to be added to give inked width)</v>
      </c>
      <c r="G46" s="98"/>
      <c r="H46" s="98"/>
      <c r="I46" s="98"/>
      <c r="J46" s="98"/>
      <c r="K46" s="98"/>
      <c r="L46" s="98"/>
      <c r="M46" s="98"/>
      <c r="N46" s="98"/>
      <c r="O46" s="98"/>
      <c r="P46" s="99"/>
      <c r="AA46" s="9" t="s">
        <v>5</v>
      </c>
      <c r="AB46" s="15">
        <v>24</v>
      </c>
      <c r="AC46" s="6" t="s">
        <v>77</v>
      </c>
    </row>
    <row r="47" spans="2:29" x14ac:dyDescent="0.25">
      <c r="B47" s="88"/>
      <c r="C47" s="90"/>
      <c r="D47" s="91"/>
      <c r="E47" s="93"/>
      <c r="F47" s="49">
        <f t="shared" ref="F47:P47" si="5">F40+2*($E$8-$E$22)</f>
        <v>9</v>
      </c>
      <c r="G47" s="44">
        <f t="shared" si="5"/>
        <v>11</v>
      </c>
      <c r="H47" s="44">
        <f t="shared" si="5"/>
        <v>12</v>
      </c>
      <c r="I47" s="44">
        <f t="shared" si="5"/>
        <v>13</v>
      </c>
      <c r="J47" s="44">
        <f t="shared" si="5"/>
        <v>15</v>
      </c>
      <c r="K47" s="44">
        <f t="shared" si="5"/>
        <v>17</v>
      </c>
      <c r="L47" s="44">
        <f t="shared" si="5"/>
        <v>20</v>
      </c>
      <c r="M47" s="44">
        <f t="shared" si="5"/>
        <v>23</v>
      </c>
      <c r="N47" s="44">
        <f t="shared" si="5"/>
        <v>27</v>
      </c>
      <c r="O47" s="44">
        <f t="shared" si="5"/>
        <v>31</v>
      </c>
      <c r="P47" s="50">
        <f t="shared" si="5"/>
        <v>39</v>
      </c>
      <c r="R47" t="s">
        <v>176</v>
      </c>
      <c r="AA47" s="9" t="s">
        <v>5</v>
      </c>
      <c r="AC47" s="6" t="s">
        <v>198</v>
      </c>
    </row>
    <row r="48" spans="2:29" x14ac:dyDescent="0.25">
      <c r="B48" s="58">
        <f>F36</f>
        <v>8</v>
      </c>
      <c r="C48" s="53">
        <f t="shared" ref="C48:C58" si="6">$B48+2*$L$7</f>
        <v>11</v>
      </c>
      <c r="D48" s="48">
        <f t="shared" ref="D48:D58" si="7">$B48+2*$E$8</f>
        <v>10</v>
      </c>
      <c r="E48" s="51">
        <f t="shared" ref="E48:E58" si="8">$B48+2*($E$8-$L$22)</f>
        <v>9</v>
      </c>
      <c r="F48" s="62">
        <f t="shared" ref="F48:P58" si="9">F$47/$E48</f>
        <v>1</v>
      </c>
      <c r="G48" s="63">
        <f t="shared" si="9"/>
        <v>1.2222222222222223</v>
      </c>
      <c r="H48" s="63">
        <f t="shared" si="9"/>
        <v>1.3333333333333333</v>
      </c>
      <c r="I48" s="63">
        <f t="shared" si="9"/>
        <v>1.4444444444444444</v>
      </c>
      <c r="J48" s="63">
        <f t="shared" si="9"/>
        <v>1.6666666666666667</v>
      </c>
      <c r="K48" s="63">
        <f t="shared" si="9"/>
        <v>1.8888888888888888</v>
      </c>
      <c r="L48" s="63">
        <f t="shared" si="9"/>
        <v>2.2222222222222223</v>
      </c>
      <c r="M48" s="63">
        <f t="shared" si="9"/>
        <v>2.5555555555555554</v>
      </c>
      <c r="N48" s="63">
        <f t="shared" si="9"/>
        <v>3</v>
      </c>
      <c r="O48" s="63">
        <f t="shared" si="9"/>
        <v>3.4444444444444446</v>
      </c>
      <c r="P48" s="64">
        <f t="shared" si="9"/>
        <v>4.333333333333333</v>
      </c>
      <c r="R48" t="s">
        <v>123</v>
      </c>
      <c r="AA48" s="9" t="s">
        <v>5</v>
      </c>
      <c r="AC48" s="6" t="s">
        <v>136</v>
      </c>
    </row>
    <row r="49" spans="2:29" x14ac:dyDescent="0.25">
      <c r="B49" s="58">
        <f>G36</f>
        <v>10</v>
      </c>
      <c r="C49" s="53">
        <f t="shared" si="6"/>
        <v>13</v>
      </c>
      <c r="D49" s="48">
        <f t="shared" si="7"/>
        <v>12</v>
      </c>
      <c r="E49" s="51">
        <f t="shared" si="8"/>
        <v>11</v>
      </c>
      <c r="F49" s="65">
        <f t="shared" si="9"/>
        <v>0.81818181818181823</v>
      </c>
      <c r="G49" s="66">
        <f t="shared" si="9"/>
        <v>1</v>
      </c>
      <c r="H49" s="66">
        <f t="shared" si="9"/>
        <v>1.0909090909090908</v>
      </c>
      <c r="I49" s="66">
        <f t="shared" si="9"/>
        <v>1.1818181818181819</v>
      </c>
      <c r="J49" s="66">
        <f t="shared" si="9"/>
        <v>1.3636363636363635</v>
      </c>
      <c r="K49" s="66">
        <f t="shared" si="9"/>
        <v>1.5454545454545454</v>
      </c>
      <c r="L49" s="66">
        <f t="shared" si="9"/>
        <v>1.8181818181818181</v>
      </c>
      <c r="M49" s="66">
        <f t="shared" si="9"/>
        <v>2.0909090909090908</v>
      </c>
      <c r="N49" s="66">
        <f t="shared" si="9"/>
        <v>2.4545454545454546</v>
      </c>
      <c r="O49" s="66">
        <f t="shared" si="9"/>
        <v>2.8181818181818183</v>
      </c>
      <c r="P49" s="67">
        <f t="shared" si="9"/>
        <v>3.5454545454545454</v>
      </c>
      <c r="R49" t="s">
        <v>117</v>
      </c>
      <c r="AA49" s="9" t="s">
        <v>5</v>
      </c>
      <c r="AC49" s="6" t="s">
        <v>137</v>
      </c>
    </row>
    <row r="50" spans="2:29" x14ac:dyDescent="0.25">
      <c r="B50" s="58">
        <f>H36</f>
        <v>11</v>
      </c>
      <c r="C50" s="53">
        <f t="shared" si="6"/>
        <v>14</v>
      </c>
      <c r="D50" s="48">
        <f t="shared" si="7"/>
        <v>13</v>
      </c>
      <c r="E50" s="51">
        <f t="shared" si="8"/>
        <v>12</v>
      </c>
      <c r="F50" s="65">
        <f t="shared" si="9"/>
        <v>0.75</v>
      </c>
      <c r="G50" s="66">
        <f t="shared" si="9"/>
        <v>0.91666666666666663</v>
      </c>
      <c r="H50" s="66">
        <f t="shared" si="9"/>
        <v>1</v>
      </c>
      <c r="I50" s="66">
        <f t="shared" si="9"/>
        <v>1.0833333333333333</v>
      </c>
      <c r="J50" s="66">
        <f t="shared" si="9"/>
        <v>1.25</v>
      </c>
      <c r="K50" s="66">
        <f t="shared" si="9"/>
        <v>1.4166666666666667</v>
      </c>
      <c r="L50" s="66">
        <f t="shared" si="9"/>
        <v>1.6666666666666667</v>
      </c>
      <c r="M50" s="66">
        <f t="shared" si="9"/>
        <v>1.9166666666666667</v>
      </c>
      <c r="N50" s="66">
        <f t="shared" si="9"/>
        <v>2.25</v>
      </c>
      <c r="O50" s="66">
        <f t="shared" si="9"/>
        <v>2.5833333333333335</v>
      </c>
      <c r="P50" s="67">
        <f t="shared" si="9"/>
        <v>3.25</v>
      </c>
      <c r="R50" t="s">
        <v>202</v>
      </c>
      <c r="AA50" s="9" t="s">
        <v>5</v>
      </c>
      <c r="AB50" s="15">
        <v>25</v>
      </c>
      <c r="AC50" s="6" t="s">
        <v>139</v>
      </c>
    </row>
    <row r="51" spans="2:29" x14ac:dyDescent="0.25">
      <c r="B51" s="58">
        <f>I36</f>
        <v>12</v>
      </c>
      <c r="C51" s="53">
        <f t="shared" si="6"/>
        <v>15</v>
      </c>
      <c r="D51" s="48">
        <f t="shared" si="7"/>
        <v>14</v>
      </c>
      <c r="E51" s="51">
        <f t="shared" si="8"/>
        <v>13</v>
      </c>
      <c r="F51" s="65">
        <f t="shared" si="9"/>
        <v>0.69230769230769229</v>
      </c>
      <c r="G51" s="66">
        <f t="shared" si="9"/>
        <v>0.84615384615384615</v>
      </c>
      <c r="H51" s="66">
        <f t="shared" si="9"/>
        <v>0.92307692307692313</v>
      </c>
      <c r="I51" s="66">
        <f t="shared" si="9"/>
        <v>1</v>
      </c>
      <c r="J51" s="66">
        <f t="shared" si="9"/>
        <v>1.1538461538461537</v>
      </c>
      <c r="K51" s="66">
        <f t="shared" si="9"/>
        <v>1.3076923076923077</v>
      </c>
      <c r="L51" s="66">
        <f t="shared" si="9"/>
        <v>1.5384615384615385</v>
      </c>
      <c r="M51" s="66">
        <f t="shared" si="9"/>
        <v>1.7692307692307692</v>
      </c>
      <c r="N51" s="66">
        <f t="shared" si="9"/>
        <v>2.0769230769230771</v>
      </c>
      <c r="O51" s="66">
        <f t="shared" si="9"/>
        <v>2.3846153846153846</v>
      </c>
      <c r="P51" s="67">
        <f t="shared" si="9"/>
        <v>3</v>
      </c>
      <c r="R51" t="s">
        <v>142</v>
      </c>
      <c r="AA51" s="9" t="s">
        <v>5</v>
      </c>
      <c r="AB51" s="15">
        <v>26</v>
      </c>
      <c r="AC51" s="6" t="s">
        <v>189</v>
      </c>
    </row>
    <row r="52" spans="2:29" x14ac:dyDescent="0.25">
      <c r="B52" s="58">
        <f>J36</f>
        <v>14</v>
      </c>
      <c r="C52" s="53">
        <f t="shared" si="6"/>
        <v>17</v>
      </c>
      <c r="D52" s="48">
        <f t="shared" si="7"/>
        <v>16</v>
      </c>
      <c r="E52" s="51">
        <f t="shared" si="8"/>
        <v>15</v>
      </c>
      <c r="F52" s="65">
        <f t="shared" si="9"/>
        <v>0.6</v>
      </c>
      <c r="G52" s="66">
        <f t="shared" si="9"/>
        <v>0.73333333333333328</v>
      </c>
      <c r="H52" s="66">
        <f t="shared" si="9"/>
        <v>0.8</v>
      </c>
      <c r="I52" s="66">
        <f t="shared" si="9"/>
        <v>0.8666666666666667</v>
      </c>
      <c r="J52" s="66">
        <f t="shared" si="9"/>
        <v>1</v>
      </c>
      <c r="K52" s="66">
        <f t="shared" si="9"/>
        <v>1.1333333333333333</v>
      </c>
      <c r="L52" s="66">
        <f t="shared" si="9"/>
        <v>1.3333333333333333</v>
      </c>
      <c r="M52" s="66">
        <f t="shared" si="9"/>
        <v>1.5333333333333334</v>
      </c>
      <c r="N52" s="66">
        <f t="shared" si="9"/>
        <v>1.8</v>
      </c>
      <c r="O52" s="66">
        <f t="shared" si="9"/>
        <v>2.0666666666666669</v>
      </c>
      <c r="P52" s="67">
        <f t="shared" si="9"/>
        <v>2.6</v>
      </c>
      <c r="R52" t="s">
        <v>143</v>
      </c>
      <c r="AA52" s="8" t="s">
        <v>7</v>
      </c>
      <c r="AB52" s="15">
        <v>27</v>
      </c>
      <c r="AC52" s="8" t="s">
        <v>183</v>
      </c>
    </row>
    <row r="53" spans="2:29" x14ac:dyDescent="0.25">
      <c r="B53" s="58">
        <f>K36</f>
        <v>16</v>
      </c>
      <c r="C53" s="53">
        <f t="shared" si="6"/>
        <v>19</v>
      </c>
      <c r="D53" s="48">
        <f t="shared" si="7"/>
        <v>18</v>
      </c>
      <c r="E53" s="51">
        <f t="shared" si="8"/>
        <v>17</v>
      </c>
      <c r="F53" s="65">
        <f t="shared" si="9"/>
        <v>0.52941176470588236</v>
      </c>
      <c r="G53" s="66">
        <f t="shared" si="9"/>
        <v>0.6470588235294118</v>
      </c>
      <c r="H53" s="66">
        <f t="shared" si="9"/>
        <v>0.70588235294117652</v>
      </c>
      <c r="I53" s="66">
        <f t="shared" si="9"/>
        <v>0.76470588235294112</v>
      </c>
      <c r="J53" s="66">
        <f t="shared" si="9"/>
        <v>0.88235294117647056</v>
      </c>
      <c r="K53" s="66">
        <f t="shared" si="9"/>
        <v>1</v>
      </c>
      <c r="L53" s="66">
        <f t="shared" si="9"/>
        <v>1.1764705882352942</v>
      </c>
      <c r="M53" s="66">
        <f t="shared" si="9"/>
        <v>1.3529411764705883</v>
      </c>
      <c r="N53" s="66">
        <f t="shared" si="9"/>
        <v>1.588235294117647</v>
      </c>
      <c r="O53" s="66">
        <f t="shared" si="9"/>
        <v>1.8235294117647058</v>
      </c>
      <c r="P53" s="67">
        <f t="shared" si="9"/>
        <v>2.2941176470588234</v>
      </c>
    </row>
    <row r="54" spans="2:29" x14ac:dyDescent="0.25">
      <c r="B54" s="58">
        <f>L36</f>
        <v>19</v>
      </c>
      <c r="C54" s="53">
        <f t="shared" si="6"/>
        <v>22</v>
      </c>
      <c r="D54" s="48">
        <f t="shared" si="7"/>
        <v>21</v>
      </c>
      <c r="E54" s="51">
        <f t="shared" si="8"/>
        <v>20</v>
      </c>
      <c r="F54" s="65">
        <f t="shared" si="9"/>
        <v>0.45</v>
      </c>
      <c r="G54" s="66">
        <f t="shared" si="9"/>
        <v>0.55000000000000004</v>
      </c>
      <c r="H54" s="66">
        <f t="shared" si="9"/>
        <v>0.6</v>
      </c>
      <c r="I54" s="66">
        <f t="shared" si="9"/>
        <v>0.65</v>
      </c>
      <c r="J54" s="66">
        <f t="shared" si="9"/>
        <v>0.75</v>
      </c>
      <c r="K54" s="66">
        <f t="shared" si="9"/>
        <v>0.85</v>
      </c>
      <c r="L54" s="66">
        <f t="shared" si="9"/>
        <v>1</v>
      </c>
      <c r="M54" s="66">
        <f t="shared" si="9"/>
        <v>1.1499999999999999</v>
      </c>
      <c r="N54" s="66">
        <f t="shared" si="9"/>
        <v>1.35</v>
      </c>
      <c r="O54" s="66">
        <f t="shared" si="9"/>
        <v>1.55</v>
      </c>
      <c r="P54" s="67">
        <f t="shared" si="9"/>
        <v>1.95</v>
      </c>
      <c r="R54" t="s">
        <v>144</v>
      </c>
      <c r="AB54" s="39"/>
      <c r="AC54" s="38" t="s">
        <v>9</v>
      </c>
    </row>
    <row r="55" spans="2:29" x14ac:dyDescent="0.25">
      <c r="B55" s="58">
        <f>M36</f>
        <v>22</v>
      </c>
      <c r="C55" s="53">
        <f t="shared" si="6"/>
        <v>25</v>
      </c>
      <c r="D55" s="48">
        <f t="shared" si="7"/>
        <v>24</v>
      </c>
      <c r="E55" s="51">
        <f t="shared" si="8"/>
        <v>23</v>
      </c>
      <c r="F55" s="65">
        <f t="shared" si="9"/>
        <v>0.39130434782608697</v>
      </c>
      <c r="G55" s="66">
        <f t="shared" si="9"/>
        <v>0.47826086956521741</v>
      </c>
      <c r="H55" s="66">
        <f t="shared" si="9"/>
        <v>0.52173913043478259</v>
      </c>
      <c r="I55" s="66">
        <f t="shared" si="9"/>
        <v>0.56521739130434778</v>
      </c>
      <c r="J55" s="66">
        <f t="shared" si="9"/>
        <v>0.65217391304347827</v>
      </c>
      <c r="K55" s="66">
        <f t="shared" si="9"/>
        <v>0.73913043478260865</v>
      </c>
      <c r="L55" s="66">
        <f t="shared" si="9"/>
        <v>0.86956521739130432</v>
      </c>
      <c r="M55" s="66">
        <f t="shared" si="9"/>
        <v>1</v>
      </c>
      <c r="N55" s="66">
        <f t="shared" si="9"/>
        <v>1.173913043478261</v>
      </c>
      <c r="O55" s="66">
        <f t="shared" si="9"/>
        <v>1.3478260869565217</v>
      </c>
      <c r="P55" s="67">
        <f t="shared" si="9"/>
        <v>1.6956521739130435</v>
      </c>
      <c r="R55" t="s">
        <v>203</v>
      </c>
      <c r="Z55" s="2"/>
      <c r="AB55" s="15" t="s">
        <v>63</v>
      </c>
      <c r="AC55" s="6" t="s">
        <v>145</v>
      </c>
    </row>
    <row r="56" spans="2:29" x14ac:dyDescent="0.25">
      <c r="B56" s="58">
        <f>N36</f>
        <v>26</v>
      </c>
      <c r="C56" s="53">
        <f t="shared" si="6"/>
        <v>29</v>
      </c>
      <c r="D56" s="48">
        <f t="shared" si="7"/>
        <v>28</v>
      </c>
      <c r="E56" s="51">
        <f t="shared" si="8"/>
        <v>27</v>
      </c>
      <c r="F56" s="65">
        <f t="shared" si="9"/>
        <v>0.33333333333333331</v>
      </c>
      <c r="G56" s="66">
        <f t="shared" si="9"/>
        <v>0.40740740740740738</v>
      </c>
      <c r="H56" s="66">
        <f t="shared" si="9"/>
        <v>0.44444444444444442</v>
      </c>
      <c r="I56" s="66">
        <f t="shared" si="9"/>
        <v>0.48148148148148145</v>
      </c>
      <c r="J56" s="66">
        <f t="shared" si="9"/>
        <v>0.55555555555555558</v>
      </c>
      <c r="K56" s="66">
        <f t="shared" si="9"/>
        <v>0.62962962962962965</v>
      </c>
      <c r="L56" s="66">
        <f t="shared" si="9"/>
        <v>0.7407407407407407</v>
      </c>
      <c r="M56" s="66">
        <f t="shared" si="9"/>
        <v>0.85185185185185186</v>
      </c>
      <c r="N56" s="66">
        <f t="shared" si="9"/>
        <v>1</v>
      </c>
      <c r="O56" s="66">
        <f t="shared" si="9"/>
        <v>1.1481481481481481</v>
      </c>
      <c r="P56" s="67">
        <f t="shared" si="9"/>
        <v>1.4444444444444444</v>
      </c>
      <c r="R56" t="s">
        <v>204</v>
      </c>
      <c r="AC56" s="6" t="s">
        <v>146</v>
      </c>
    </row>
    <row r="57" spans="2:29" x14ac:dyDescent="0.25">
      <c r="B57" s="58">
        <f>O36</f>
        <v>30</v>
      </c>
      <c r="C57" s="53">
        <f t="shared" si="6"/>
        <v>33</v>
      </c>
      <c r="D57" s="48">
        <f t="shared" si="7"/>
        <v>32</v>
      </c>
      <c r="E57" s="51">
        <f t="shared" si="8"/>
        <v>31</v>
      </c>
      <c r="F57" s="65">
        <f t="shared" si="9"/>
        <v>0.29032258064516131</v>
      </c>
      <c r="G57" s="66">
        <f t="shared" si="9"/>
        <v>0.35483870967741937</v>
      </c>
      <c r="H57" s="66">
        <f t="shared" si="9"/>
        <v>0.38709677419354838</v>
      </c>
      <c r="I57" s="66">
        <f t="shared" si="9"/>
        <v>0.41935483870967744</v>
      </c>
      <c r="J57" s="66">
        <f t="shared" si="9"/>
        <v>0.4838709677419355</v>
      </c>
      <c r="K57" s="66">
        <f t="shared" si="9"/>
        <v>0.54838709677419351</v>
      </c>
      <c r="L57" s="66">
        <f t="shared" si="9"/>
        <v>0.64516129032258063</v>
      </c>
      <c r="M57" s="66">
        <f t="shared" si="9"/>
        <v>0.74193548387096775</v>
      </c>
      <c r="N57" s="66">
        <f t="shared" si="9"/>
        <v>0.87096774193548387</v>
      </c>
      <c r="O57" s="66">
        <f t="shared" si="9"/>
        <v>1</v>
      </c>
      <c r="P57" s="67">
        <f t="shared" si="9"/>
        <v>1.2580645161290323</v>
      </c>
      <c r="AC57" t="s">
        <v>193</v>
      </c>
    </row>
    <row r="58" spans="2:29" x14ac:dyDescent="0.25">
      <c r="B58" s="58">
        <f>P36</f>
        <v>38</v>
      </c>
      <c r="C58" s="54">
        <f t="shared" si="6"/>
        <v>41</v>
      </c>
      <c r="D58" s="48">
        <f t="shared" si="7"/>
        <v>40</v>
      </c>
      <c r="E58" s="52">
        <f t="shared" si="8"/>
        <v>39</v>
      </c>
      <c r="F58" s="68">
        <f t="shared" si="9"/>
        <v>0.23076923076923078</v>
      </c>
      <c r="G58" s="69">
        <f t="shared" si="9"/>
        <v>0.28205128205128205</v>
      </c>
      <c r="H58" s="69">
        <f t="shared" si="9"/>
        <v>0.30769230769230771</v>
      </c>
      <c r="I58" s="69">
        <f t="shared" si="9"/>
        <v>0.33333333333333331</v>
      </c>
      <c r="J58" s="69">
        <f t="shared" si="9"/>
        <v>0.38461538461538464</v>
      </c>
      <c r="K58" s="69">
        <f t="shared" si="9"/>
        <v>0.4358974358974359</v>
      </c>
      <c r="L58" s="69">
        <f t="shared" si="9"/>
        <v>0.51282051282051277</v>
      </c>
      <c r="M58" s="69">
        <f t="shared" si="9"/>
        <v>0.58974358974358976</v>
      </c>
      <c r="N58" s="69">
        <f t="shared" si="9"/>
        <v>0.69230769230769229</v>
      </c>
      <c r="O58" s="69">
        <f t="shared" si="9"/>
        <v>0.79487179487179482</v>
      </c>
      <c r="P58" s="70">
        <f t="shared" si="9"/>
        <v>1</v>
      </c>
      <c r="Q58" s="12"/>
      <c r="AC58" t="s">
        <v>194</v>
      </c>
    </row>
    <row r="59" spans="2:29" x14ac:dyDescent="0.25">
      <c r="R59" s="36" t="s">
        <v>84</v>
      </c>
      <c r="S59" s="37"/>
      <c r="T59" s="37"/>
      <c r="U59" s="37"/>
      <c r="V59" s="37"/>
      <c r="W59" s="37"/>
      <c r="X59" s="37"/>
      <c r="Y59" s="37"/>
      <c r="AB59" s="15" t="s">
        <v>64</v>
      </c>
      <c r="AC59" s="6" t="s">
        <v>199</v>
      </c>
    </row>
    <row r="60" spans="2:29" x14ac:dyDescent="0.25">
      <c r="C60" s="27" t="str">
        <f>CONCATENATE("(",L7,"""")</f>
        <v>(1.5"</v>
      </c>
      <c r="D60" s="27" t="str">
        <f>CONCATENATE("(",E8,"""")</f>
        <v>(1"</v>
      </c>
      <c r="E60" s="27" t="str">
        <f>CONCATENATE("(",L22,"""")</f>
        <v>(0.5"</v>
      </c>
      <c r="F60" s="86" t="str">
        <f>CONCATENATE("Printable width with ",E7,""" wide canvas or paper")</f>
        <v>Printable width with 17" wide canvas or paper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AC60" s="6" t="s">
        <v>72</v>
      </c>
    </row>
    <row r="61" spans="2:29" x14ac:dyDescent="0.25">
      <c r="C61" s="27" t="s">
        <v>85</v>
      </c>
      <c r="D61" s="27" t="s">
        <v>86</v>
      </c>
      <c r="E61" s="27" t="s">
        <v>105</v>
      </c>
      <c r="F61" s="87" t="str">
        <f>CONCATENATE("If width &gt;",E7,""", image must be rotated for printing")</f>
        <v>If width &gt;17", image must be rotated for printing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R61" t="s">
        <v>2</v>
      </c>
      <c r="S61" s="2"/>
      <c r="U61" s="2"/>
      <c r="V61" s="2"/>
      <c r="W61" s="2" t="s">
        <v>110</v>
      </c>
      <c r="X61" s="2"/>
      <c r="Y61" s="2"/>
      <c r="Z61" s="14"/>
      <c r="AC61" s="6" t="s">
        <v>31</v>
      </c>
    </row>
    <row r="62" spans="2:29" x14ac:dyDescent="0.25">
      <c r="C62" s="27" t="s">
        <v>29</v>
      </c>
      <c r="D62" s="27" t="s">
        <v>87</v>
      </c>
      <c r="E62" s="27" t="s">
        <v>82</v>
      </c>
      <c r="S62" s="2" t="s">
        <v>147</v>
      </c>
      <c r="T62" t="s">
        <v>148</v>
      </c>
      <c r="U62" s="2" t="s">
        <v>149</v>
      </c>
      <c r="V62" s="2" t="s">
        <v>150</v>
      </c>
      <c r="W62" s="2" t="s">
        <v>1</v>
      </c>
      <c r="X62" s="2" t="s">
        <v>151</v>
      </c>
      <c r="Y62" s="2" t="s">
        <v>152</v>
      </c>
      <c r="AB62" s="15" t="s">
        <v>65</v>
      </c>
      <c r="AC62" s="6" t="s">
        <v>195</v>
      </c>
    </row>
    <row r="63" spans="2:29" x14ac:dyDescent="0.25">
      <c r="C63" s="27" t="s">
        <v>87</v>
      </c>
      <c r="E63" s="27" t="s">
        <v>88</v>
      </c>
      <c r="S63" s="1" t="s">
        <v>153</v>
      </c>
      <c r="T63" s="1" t="s">
        <v>154</v>
      </c>
      <c r="U63" s="1" t="s">
        <v>155</v>
      </c>
      <c r="V63" s="1" t="s">
        <v>156</v>
      </c>
      <c r="W63" s="1" t="s">
        <v>109</v>
      </c>
      <c r="X63" s="1" t="s">
        <v>157</v>
      </c>
      <c r="Y63" s="1" t="s">
        <v>158</v>
      </c>
      <c r="AC63" s="6" t="s">
        <v>200</v>
      </c>
    </row>
    <row r="64" spans="2:29" x14ac:dyDescent="0.25">
      <c r="R64" t="s">
        <v>106</v>
      </c>
      <c r="S64" s="23">
        <v>5</v>
      </c>
      <c r="T64" s="23">
        <v>11</v>
      </c>
      <c r="U64" s="23">
        <v>4</v>
      </c>
      <c r="V64" s="23">
        <v>7</v>
      </c>
      <c r="W64" s="24">
        <f>SQRT(2)</f>
        <v>1.4142135623730951</v>
      </c>
      <c r="X64" s="23">
        <v>3</v>
      </c>
      <c r="Y64" s="23">
        <v>8</v>
      </c>
    </row>
    <row r="65" spans="2:29" x14ac:dyDescent="0.25">
      <c r="B65" s="36" t="s">
        <v>66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R65" t="s">
        <v>105</v>
      </c>
      <c r="S65" s="23">
        <v>4</v>
      </c>
      <c r="T65" s="23">
        <v>8.5</v>
      </c>
      <c r="U65" s="23">
        <v>3</v>
      </c>
      <c r="V65" s="23">
        <v>5</v>
      </c>
      <c r="W65" s="23">
        <v>1</v>
      </c>
      <c r="X65" s="23">
        <v>2</v>
      </c>
      <c r="Y65" s="23">
        <v>5</v>
      </c>
    </row>
    <row r="66" spans="2:29" x14ac:dyDescent="0.25">
      <c r="B66" s="41" t="s">
        <v>184</v>
      </c>
      <c r="F66" t="str">
        <f>CONCATENATE("from current ",ROUND(E12/L12,2)," to required ",ROUND(E26,2),",")</f>
        <v>from current 1.33 to required 1.33,</v>
      </c>
      <c r="L66" s="21"/>
      <c r="O66" s="21"/>
      <c r="R66" s="2" t="s">
        <v>107</v>
      </c>
      <c r="S66" s="22">
        <f>ROUND(S64/S65,2)</f>
        <v>1.25</v>
      </c>
      <c r="T66" s="22">
        <f>ROUND(T64/T65,2)</f>
        <v>1.29</v>
      </c>
      <c r="U66" s="22">
        <f t="shared" ref="U66" si="10">ROUND(U64/U65,2)</f>
        <v>1.33</v>
      </c>
      <c r="V66" s="22">
        <f>ROUND(V64/V65,2)</f>
        <v>1.4</v>
      </c>
      <c r="W66" s="22">
        <f>ROUND(W64/W65,2)</f>
        <v>1.41</v>
      </c>
      <c r="X66" s="22">
        <f>ROUND(X64/X65,2)</f>
        <v>1.5</v>
      </c>
      <c r="Y66" s="22">
        <f>ROUND(Y64/Y65,2)</f>
        <v>1.6</v>
      </c>
      <c r="AC66" s="25" t="s">
        <v>38</v>
      </c>
    </row>
    <row r="67" spans="2:29" x14ac:dyDescent="0.25">
      <c r="B67" s="41" t="s">
        <v>27</v>
      </c>
      <c r="E67" s="17">
        <f>E12</f>
        <v>5184</v>
      </c>
      <c r="F67" t="s">
        <v>3</v>
      </c>
      <c r="J67" s="17" t="s">
        <v>47</v>
      </c>
      <c r="K67" s="16"/>
      <c r="L67" s="16"/>
      <c r="M67" s="11">
        <f>ROUND(E12/E26,0)</f>
        <v>3889</v>
      </c>
      <c r="N67" s="21" t="s">
        <v>3</v>
      </c>
      <c r="O67" s="21"/>
      <c r="R67" s="76" t="s">
        <v>108</v>
      </c>
      <c r="S67" s="22">
        <f>ROUND(S65/S64,2)</f>
        <v>0.8</v>
      </c>
      <c r="T67" s="22">
        <f>ROUND(T65/T64,2)</f>
        <v>0.77</v>
      </c>
      <c r="U67" s="22">
        <f t="shared" ref="U67" si="11">ROUND(U65/U64,2)</f>
        <v>0.75</v>
      </c>
      <c r="V67" s="22">
        <f>ROUND(V65/V64,2)</f>
        <v>0.71</v>
      </c>
      <c r="W67" s="22">
        <f>ROUND(W65/W64,2)</f>
        <v>0.71</v>
      </c>
      <c r="X67" s="22">
        <f>ROUND(X65/X64,2)</f>
        <v>0.67</v>
      </c>
      <c r="Y67" s="22">
        <f>ROUND(Y65/Y64,2)</f>
        <v>0.63</v>
      </c>
      <c r="AC67" s="46" t="s">
        <v>76</v>
      </c>
    </row>
    <row r="68" spans="2:29" x14ac:dyDescent="0.25">
      <c r="B68" s="42" t="s">
        <v>28</v>
      </c>
      <c r="C68" s="6"/>
      <c r="E68" s="11">
        <f>IFERROR(ROUND(M67/L25,0),"Infeasible")</f>
        <v>259</v>
      </c>
      <c r="M68" s="11" t="str">
        <f>IF(M67&gt;L12,"(larger)",IF(M67&lt;L12,"(smaller)","(no change)"))</f>
        <v>(larger)</v>
      </c>
      <c r="N68" s="43"/>
      <c r="O68" s="21"/>
      <c r="AC68" s="33" t="s">
        <v>44</v>
      </c>
    </row>
    <row r="69" spans="2:29" x14ac:dyDescent="0.25">
      <c r="B69" s="41" t="s">
        <v>51</v>
      </c>
      <c r="N69" s="21"/>
      <c r="O69" s="21"/>
      <c r="AC69" s="33" t="s">
        <v>45</v>
      </c>
    </row>
    <row r="70" spans="2:29" x14ac:dyDescent="0.25">
      <c r="B70" s="21" t="s">
        <v>48</v>
      </c>
      <c r="E70" s="11">
        <f>ROUND(L12*E26,0)</f>
        <v>5183</v>
      </c>
      <c r="F70" t="s">
        <v>3</v>
      </c>
      <c r="J70" s="35" t="s">
        <v>11</v>
      </c>
      <c r="K70" s="16"/>
      <c r="M70" s="17">
        <f>L12</f>
        <v>3888</v>
      </c>
      <c r="N70" s="21" t="s">
        <v>3</v>
      </c>
      <c r="O70" s="21"/>
      <c r="R70" s="25" t="s">
        <v>111</v>
      </c>
      <c r="AC70" s="33" t="s">
        <v>46</v>
      </c>
    </row>
    <row r="71" spans="2:29" x14ac:dyDescent="0.25">
      <c r="B71" s="21"/>
      <c r="C71" s="21"/>
      <c r="D71" s="21"/>
      <c r="E71" s="11" t="str">
        <f>IF(E70&gt;E12,"(larger)",IF(E70&lt;E12,"(smaller)","(no change)"))</f>
        <v>(smaller)</v>
      </c>
      <c r="F71" s="11"/>
      <c r="J71" s="6" t="s">
        <v>12</v>
      </c>
      <c r="K71" s="6"/>
      <c r="M71" s="11">
        <f>IFERROR(ROUND(E70/E25,0),"Infeasible")</f>
        <v>259</v>
      </c>
      <c r="N71" s="21"/>
      <c r="O71" s="21"/>
      <c r="R71" s="26" t="s">
        <v>17</v>
      </c>
      <c r="S71" s="26"/>
      <c r="T71" s="26"/>
      <c r="U71" s="26"/>
      <c r="V71" s="26"/>
      <c r="W71" s="26"/>
      <c r="X71" s="26"/>
      <c r="Y71" s="26"/>
      <c r="AC71" s="33" t="s">
        <v>42</v>
      </c>
    </row>
    <row r="72" spans="2:29" x14ac:dyDescent="0.25">
      <c r="R72" t="s">
        <v>18</v>
      </c>
      <c r="AC72" s="33" t="s">
        <v>43</v>
      </c>
    </row>
    <row r="73" spans="2:29" x14ac:dyDescent="0.25">
      <c r="R73" t="s">
        <v>159</v>
      </c>
    </row>
    <row r="74" spans="2:29" x14ac:dyDescent="0.25">
      <c r="Z74" s="4"/>
    </row>
    <row r="75" spans="2:29" x14ac:dyDescent="0.25">
      <c r="R75" t="s">
        <v>19</v>
      </c>
      <c r="Z75" s="4"/>
    </row>
    <row r="76" spans="2:29" x14ac:dyDescent="0.25">
      <c r="R76" t="s">
        <v>21</v>
      </c>
      <c r="U76" s="23">
        <v>10.5</v>
      </c>
      <c r="V76" t="str">
        <f>CONCATENATE("cm  (",ROUND(U76/2.54,1),""")")</f>
        <v>cm  (4.1")</v>
      </c>
      <c r="W76" s="5"/>
      <c r="X76" s="13"/>
      <c r="Y76" s="4"/>
    </row>
    <row r="77" spans="2:29" x14ac:dyDescent="0.25">
      <c r="R77" t="s">
        <v>52</v>
      </c>
      <c r="Z77" s="3"/>
    </row>
    <row r="78" spans="2:29" x14ac:dyDescent="0.25">
      <c r="Y78" s="4"/>
    </row>
    <row r="79" spans="2:29" x14ac:dyDescent="0.25">
      <c r="R79" t="s">
        <v>22</v>
      </c>
    </row>
    <row r="80" spans="2:29" x14ac:dyDescent="0.25">
      <c r="R80" t="s">
        <v>20</v>
      </c>
      <c r="U80" s="11">
        <f>ROUND(104-2*U76-2*1.27,1)</f>
        <v>80.5</v>
      </c>
      <c r="V80" t="str">
        <f>CONCATENATE("cm  (",ROUND(U80/2.54,1),""")")</f>
        <v>cm  (31.7")</v>
      </c>
      <c r="W80" s="5"/>
      <c r="X80" s="13"/>
      <c r="Y80" s="3"/>
    </row>
    <row r="81" spans="18:24" x14ac:dyDescent="0.25">
      <c r="R81" t="s">
        <v>102</v>
      </c>
      <c r="X81" s="4"/>
    </row>
    <row r="83" spans="18:24" x14ac:dyDescent="0.25">
      <c r="R83" t="str">
        <f>CONCATENATE("For the spreader bars (",E15,""" × ",L15,""") entered above:")</f>
        <v>For the spreader bars (19" × 14") entered above:</v>
      </c>
    </row>
    <row r="84" spans="18:24" x14ac:dyDescent="0.25">
      <c r="R84" t="s">
        <v>23</v>
      </c>
      <c r="U84" s="19">
        <f>ROUND(MAX(E15,L15)*2.54+2*1.27,1)</f>
        <v>50.8</v>
      </c>
      <c r="V84" t="str">
        <f>CONCATENATE("cm  (",ROUND(U84/2.54,1),""")")</f>
        <v>cm  (20")</v>
      </c>
      <c r="W84" s="5"/>
      <c r="X84" s="13"/>
    </row>
    <row r="85" spans="18:24" x14ac:dyDescent="0.25">
      <c r="R85" t="s">
        <v>102</v>
      </c>
    </row>
  </sheetData>
  <sheetProtection algorithmName="SHA-512" hashValue="sfaalvWY9kRfiP/SEQHkZJf0ZO4aSmFaQkBInfPzD4cslDPAllbhoRfLkZ5cGrKvjvF0yw9tp7gaM1Ytl7ob0w==" saltValue="nBkxAQfsxz/u8+s+hzDkRQ==" spinCount="100000" sheet="1" objects="1" scenarios="1" selectLockedCells="1"/>
  <mergeCells count="17">
    <mergeCell ref="AC22:AC23"/>
    <mergeCell ref="F43:P43"/>
    <mergeCell ref="I4:K4"/>
    <mergeCell ref="F39:P39"/>
    <mergeCell ref="F41:P41"/>
    <mergeCell ref="E35:P35"/>
    <mergeCell ref="N4:P4"/>
    <mergeCell ref="E4:F4"/>
    <mergeCell ref="N5:P5"/>
    <mergeCell ref="F60:P60"/>
    <mergeCell ref="F61:P61"/>
    <mergeCell ref="B45:B47"/>
    <mergeCell ref="C45:C47"/>
    <mergeCell ref="D45:D47"/>
    <mergeCell ref="E45:E47"/>
    <mergeCell ref="F45:P45"/>
    <mergeCell ref="F46:P46"/>
  </mergeCells>
  <conditionalFormatting sqref="E32">
    <cfRule type="expression" dxfId="23" priority="36" stopIfTrue="1">
      <formula>LEFT($E$32,4)="Will"</formula>
    </cfRule>
    <cfRule type="cellIs" dxfId="22" priority="39" operator="equal">
      <formula>"OK"</formula>
    </cfRule>
  </conditionalFormatting>
  <conditionalFormatting sqref="E31">
    <cfRule type="expression" dxfId="21" priority="34" stopIfTrue="1">
      <formula>LEFT($E$31,2)="OK"</formula>
    </cfRule>
  </conditionalFormatting>
  <conditionalFormatting sqref="F32">
    <cfRule type="expression" dxfId="20" priority="32">
      <formula>LEFT($E$32,5)="Tight"</formula>
    </cfRule>
  </conditionalFormatting>
  <conditionalFormatting sqref="F32">
    <cfRule type="expression" dxfId="19" priority="31">
      <formula>LEFT($E$32,4)="Will"</formula>
    </cfRule>
  </conditionalFormatting>
  <conditionalFormatting sqref="E31:P31">
    <cfRule type="expression" dxfId="18" priority="29">
      <formula>LEFT($E$31,6)="Rotate"</formula>
    </cfRule>
  </conditionalFormatting>
  <conditionalFormatting sqref="E31:F31">
    <cfRule type="expression" dxfId="17" priority="35">
      <formula>LEFT($E$31,4)="Will"</formula>
    </cfRule>
  </conditionalFormatting>
  <conditionalFormatting sqref="E32:P32">
    <cfRule type="expression" dxfId="16" priority="37" stopIfTrue="1">
      <formula>LEFT($E$32,5)="Tight"</formula>
    </cfRule>
  </conditionalFormatting>
  <conditionalFormatting sqref="E29:P29">
    <cfRule type="expression" dxfId="15" priority="25">
      <formula>LEFT($E$29,3)="NOT"</formula>
    </cfRule>
    <cfRule type="expression" dxfId="14" priority="26">
      <formula>LEFT($E$29,3)&lt;&gt;"NOT"</formula>
    </cfRule>
  </conditionalFormatting>
  <conditionalFormatting sqref="F31:P31">
    <cfRule type="expression" dxfId="13" priority="92">
      <formula>LEFT($E$31,8)="Consider"</formula>
    </cfRule>
  </conditionalFormatting>
  <conditionalFormatting sqref="E20">
    <cfRule type="expression" dxfId="12" priority="93">
      <formula>$E$20&gt;$E$8</formula>
    </cfRule>
  </conditionalFormatting>
  <conditionalFormatting sqref="L21">
    <cfRule type="expression" dxfId="11" priority="94">
      <formula>AND($E$21&lt;&gt;0,$L$21&gt;$E$8)</formula>
    </cfRule>
  </conditionalFormatting>
  <conditionalFormatting sqref="L8">
    <cfRule type="expression" dxfId="10" priority="12">
      <formula>$L$8&lt;0</formula>
    </cfRule>
  </conditionalFormatting>
  <conditionalFormatting sqref="F9:M9">
    <cfRule type="expression" dxfId="9" priority="11">
      <formula>LEFT($F$9,5)="Inked"</formula>
    </cfRule>
  </conditionalFormatting>
  <conditionalFormatting sqref="E18:I18">
    <cfRule type="expression" dxfId="8" priority="10">
      <formula>LEFT($E$18,3)="Not"</formula>
    </cfRule>
  </conditionalFormatting>
  <conditionalFormatting sqref="L18:P18">
    <cfRule type="expression" dxfId="7" priority="9">
      <formula>LEFT($L$18,3)="Not"</formula>
    </cfRule>
  </conditionalFormatting>
  <conditionalFormatting sqref="E8">
    <cfRule type="expression" dxfId="6" priority="141">
      <formula>$E$8&gt;$L$7</formula>
    </cfRule>
  </conditionalFormatting>
  <conditionalFormatting sqref="F42:P42">
    <cfRule type="expression" dxfId="5" priority="163">
      <formula>F$42&lt;=$E$7</formula>
    </cfRule>
    <cfRule type="expression" dxfId="4" priority="164">
      <formula>F$42&gt;$E$7</formula>
    </cfRule>
  </conditionalFormatting>
  <conditionalFormatting sqref="B48:E58">
    <cfRule type="expression" dxfId="3" priority="180">
      <formula>$B48=$L$15</formula>
    </cfRule>
  </conditionalFormatting>
  <conditionalFormatting sqref="F40:P40 F44:P44 F42:P42 F47:P47">
    <cfRule type="expression" dxfId="2" priority="181">
      <formula>F$40=$E$15</formula>
    </cfRule>
  </conditionalFormatting>
  <conditionalFormatting sqref="F48:P58">
    <cfRule type="expression" dxfId="1" priority="185">
      <formula>AND(F$40=$E$15,$B48=$L$15)</formula>
    </cfRule>
  </conditionalFormatting>
  <conditionalFormatting sqref="E30:P30">
    <cfRule type="expression" dxfId="0" priority="1">
      <formula>LEFT($E$29,2)="Is"</formula>
    </cfRule>
  </conditionalFormatting>
  <hyperlinks>
    <hyperlink ref="AC67" r:id="rId1" xr:uid="{4F90C26D-6244-4030-AF28-AD2E063C0695}"/>
  </hyperlinks>
  <pageMargins left="0.7" right="0.7" top="0.75" bottom="0.75" header="0.3" footer="0.3"/>
  <pageSetup paperSize="9" orientation="portrait" r:id="rId2"/>
  <ignoredErrors>
    <ignoredError sqref="L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Lester Gilbert</cp:lastModifiedBy>
  <dcterms:created xsi:type="dcterms:W3CDTF">2017-04-26T16:34:18Z</dcterms:created>
  <dcterms:modified xsi:type="dcterms:W3CDTF">2023-11-11T15:36:07Z</dcterms:modified>
</cp:coreProperties>
</file>