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preadsheet" sheetId="1" r:id="rId1"/>
    <sheet name="Intersection formulae" sheetId="2" r:id="rId2"/>
    <sheet name="Graph for 4 points" sheetId="3" r:id="rId3"/>
  </sheets>
  <definedNames>
    <definedName name="arrest">'Spreadsheet'!$D$6</definedName>
    <definedName name="gather">'Spreadsheet'!$D$5</definedName>
    <definedName name="held?">'Spreadsheet'!#REF!</definedName>
    <definedName name="heldangle">'Spreadsheet'!#REF!</definedName>
    <definedName name="incr">'Spreadsheet'!$J$6</definedName>
    <definedName name="mast">'Spreadsheet'!$D$3</definedName>
    <definedName name="pivot">'Spreadsheet'!$D$4</definedName>
    <definedName name="ReeveOff">'Spreadsheet'!$J$3</definedName>
    <definedName name="ringr">'Spreadsheet'!$R$2</definedName>
  </definedNames>
  <calcPr fullCalcOnLoad="1"/>
</workbook>
</file>

<file path=xl/sharedStrings.xml><?xml version="1.0" encoding="utf-8"?>
<sst xmlns="http://schemas.openxmlformats.org/spreadsheetml/2006/main" count="162" uniqueCount="87">
  <si>
    <t>Mast diameter</t>
  </si>
  <si>
    <t>mm</t>
  </si>
  <si>
    <t>Pivot offset</t>
  </si>
  <si>
    <t>Gather offset</t>
  </si>
  <si>
    <t>deg</t>
  </si>
  <si>
    <t>Angle</t>
  </si>
  <si>
    <t>x(g)</t>
  </si>
  <si>
    <t>y(g)</t>
  </si>
  <si>
    <t>Boom arrested at</t>
  </si>
  <si>
    <t>Hole angle</t>
  </si>
  <si>
    <t>DCLa</t>
  </si>
  <si>
    <t>dist</t>
  </si>
  <si>
    <t>DCLb</t>
  </si>
  <si>
    <t>DCL</t>
  </si>
  <si>
    <t>release</t>
  </si>
  <si>
    <t>xp</t>
  </si>
  <si>
    <t>yp</t>
  </si>
  <si>
    <t>r</t>
  </si>
  <si>
    <t>DAPa</t>
  </si>
  <si>
    <t>DAPb</t>
  </si>
  <si>
    <t>tangent</t>
  </si>
  <si>
    <t>no intersection</t>
  </si>
  <si>
    <t>intersection</t>
  </si>
  <si>
    <t xml:space="preserve">Defining </t>
  </si>
  <si>
    <t xml:space="preserve">gives the points of intersection as </t>
  </si>
  <si>
    <t xml:space="preserve">therefore determines the incidence of the line and circle, as summarized in the following table. </t>
  </si>
  <si>
    <t>dx</t>
  </si>
  <si>
    <t>dr = sqrt (dx^2 + dy^2)</t>
  </si>
  <si>
    <t>y = (-D . dx +- abs(dy) . sqrt(r^2.dr^2 - D^2) )/ dr^2</t>
  </si>
  <si>
    <t>discriminant</t>
  </si>
  <si>
    <t>delta = r^2.dr^2 - D^2</t>
  </si>
  <si>
    <t>delta</t>
  </si>
  <si>
    <t>&lt;0</t>
  </si>
  <si>
    <t>&gt;0</t>
  </si>
  <si>
    <t>dy</t>
  </si>
  <si>
    <t>dr</t>
  </si>
  <si>
    <t>D</t>
  </si>
  <si>
    <t>x1</t>
  </si>
  <si>
    <t>x2</t>
  </si>
  <si>
    <t>y1</t>
  </si>
  <si>
    <t>y2</t>
  </si>
  <si>
    <t>x = (D . dy +-dx sqrt(r^2.dr^2 - D^2) )/ dr^2</t>
  </si>
  <si>
    <t>SQR(d)</t>
  </si>
  <si>
    <t>arc</t>
  </si>
  <si>
    <t>base</t>
  </si>
  <si>
    <t>Tack height</t>
  </si>
  <si>
    <t>DCL nominal</t>
  </si>
  <si>
    <t>DAP nominal</t>
  </si>
  <si>
    <t>hypot</t>
  </si>
  <si>
    <t>Step</t>
  </si>
  <si>
    <t>angle</t>
  </si>
  <si>
    <t xml:space="preserve">   a/b = left/right hand side</t>
  </si>
  <si>
    <t>Tack</t>
  </si>
  <si>
    <t>Line between (xp, yp) and (x'h, y'h) intersects a circle with centre (0, 0) and radius r</t>
  </si>
  <si>
    <t>dx = x'h - xp</t>
  </si>
  <si>
    <t>dy = y'h - yp</t>
  </si>
  <si>
    <t>D = xp.y'h -x'h.yp</t>
  </si>
  <si>
    <t>xha</t>
  </si>
  <si>
    <t>yha</t>
  </si>
  <si>
    <t>xhb</t>
  </si>
  <si>
    <t>yhb</t>
  </si>
  <si>
    <t>mast intersection a</t>
  </si>
  <si>
    <t>mast intersection b</t>
  </si>
  <si>
    <t>intersection points</t>
  </si>
  <si>
    <t>Increment per step</t>
  </si>
  <si>
    <t>The length of the helical arc is</t>
  </si>
  <si>
    <t>r is the radius of the cylinder</t>
  </si>
  <si>
    <t>b</t>
  </si>
  <si>
    <t>a</t>
  </si>
  <si>
    <t>chord</t>
  </si>
  <si>
    <t>height</t>
  </si>
  <si>
    <t>d+</t>
  </si>
  <si>
    <t>+ve release = line is eased</t>
  </si>
  <si>
    <t>-ve release = line is tightened</t>
  </si>
  <si>
    <t>Nett</t>
  </si>
  <si>
    <t>Start:</t>
  </si>
  <si>
    <t>2*pi*c is the distance between the coils</t>
  </si>
  <si>
    <t>where the arc angle t is in radians</t>
  </si>
  <si>
    <t>s = arc angle t . sqrt (r^2 +c^2)</t>
  </si>
  <si>
    <t>Reeve point offset</t>
  </si>
  <si>
    <t>Reeve point angle</t>
  </si>
  <si>
    <t xml:space="preserve">   DCL = control line from reeve point to boom</t>
  </si>
  <si>
    <t xml:space="preserve">   DAP = control line from tack to reeve point</t>
  </si>
  <si>
    <t>Reeve offset</t>
  </si>
  <si>
    <t>Auto-easing downhaul v2.1</t>
  </si>
  <si>
    <t>Overall</t>
  </si>
  <si>
    <t>DAP rel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</si>
</sst>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0" fontId="0" fillId="5" borderId="0" xfId="0" applyFill="1" applyAlignment="1">
      <alignment/>
    </xf>
    <xf numFmtId="172" fontId="0" fillId="6" borderId="0" xfId="0" applyNumberFormat="1" applyFill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 Release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235"/>
          <c:w val="0.87325"/>
          <c:h val="0.675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Spreadsheet!$B$12:$B$30</c:f>
              <c:numCache/>
            </c:numRef>
          </c:cat>
          <c:val>
            <c:numRef>
              <c:f>Spreadsheet!$C$12:$C$30</c:f>
              <c:numCache/>
            </c:numRef>
          </c:val>
          <c:smooth val="0"/>
        </c:ser>
        <c:ser>
          <c:idx val="1"/>
          <c:order val="1"/>
          <c:tx>
            <c:v>Reeve to gather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Spreadsheet!$B$12:$B$30</c:f>
              <c:numCache/>
            </c:numRef>
          </c:cat>
          <c:val>
            <c:numRef>
              <c:f>Spreadsheet!$H$12:$H$30</c:f>
              <c:numCache/>
            </c:numRef>
          </c:val>
          <c:smooth val="0"/>
        </c:ser>
        <c:ser>
          <c:idx val="2"/>
          <c:order val="2"/>
          <c:tx>
            <c:v>Tack to reeve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Spreadsheet!$B$12:$B$30</c:f>
              <c:numCache/>
            </c:numRef>
          </c:cat>
          <c:val>
            <c:numRef>
              <c:f>Spreadsheet!$AT$12:$AT$30</c:f>
              <c:numCache/>
            </c:numRef>
          </c:val>
          <c:smooth val="0"/>
        </c:ser>
        <c:marker val="1"/>
        <c:axId val="55453502"/>
        <c:axId val="29319471"/>
      </c:lineChart>
      <c:catAx>
        <c:axId val="5545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Sheeting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auto val="0"/>
        <c:lblOffset val="100"/>
        <c:noMultiLvlLbl val="0"/>
      </c:catAx>
      <c:valAx>
        <c:axId val="293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Ease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85"/>
          <c:y val="0.1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Downhaul ease from reeve point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05"/>
          <c:w val="0.833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'Graph for 4 points'!$B$4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for 4 points'!$A$5:$A$23</c:f>
              <c:numCache/>
            </c:numRef>
          </c:cat>
          <c:val>
            <c:numRef>
              <c:f>'Graph for 4 points'!$B$5:$B$23</c:f>
              <c:numCache/>
            </c:numRef>
          </c:val>
          <c:smooth val="0"/>
        </c:ser>
        <c:ser>
          <c:idx val="1"/>
          <c:order val="1"/>
          <c:tx>
            <c:strRef>
              <c:f>'Graph for 4 points'!$C$4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for 4 points'!$A$5:$A$23</c:f>
              <c:numCache/>
            </c:numRef>
          </c:cat>
          <c:val>
            <c:numRef>
              <c:f>'Graph for 4 points'!$C$5:$C$23</c:f>
              <c:numCache/>
            </c:numRef>
          </c:val>
          <c:smooth val="0"/>
        </c:ser>
        <c:ser>
          <c:idx val="2"/>
          <c:order val="2"/>
          <c:tx>
            <c:strRef>
              <c:f>'Graph for 4 points'!$D$4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for 4 points'!$A$5:$A$23</c:f>
              <c:numCache/>
            </c:numRef>
          </c:cat>
          <c:val>
            <c:numRef>
              <c:f>'Graph for 4 points'!$D$5:$D$23</c:f>
              <c:numCache/>
            </c:numRef>
          </c:val>
          <c:smooth val="0"/>
        </c:ser>
        <c:ser>
          <c:idx val="3"/>
          <c:order val="3"/>
          <c:tx>
            <c:strRef>
              <c:f>'Graph for 4 points'!$E$4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for 4 points'!$A$5:$A$23</c:f>
              <c:numCache/>
            </c:numRef>
          </c:cat>
          <c:val>
            <c:numRef>
              <c:f>'Graph for 4 points'!$E$5:$E$23</c:f>
              <c:numCache/>
            </c:numRef>
          </c:val>
          <c:smooth val="0"/>
        </c:ser>
        <c:marker val="1"/>
        <c:axId val="62548648"/>
        <c:axId val="26066921"/>
      </c:lineChart>
      <c:catAx>
        <c:axId val="625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Boom sheeting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5"/>
          <c:y val="0.25825"/>
          <c:w val="0.087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30</xdr:row>
      <xdr:rowOff>114300</xdr:rowOff>
    </xdr:from>
    <xdr:to>
      <xdr:col>12</xdr:col>
      <xdr:colOff>314325</xdr:colOff>
      <xdr:row>49</xdr:row>
      <xdr:rowOff>152400</xdr:rowOff>
    </xdr:to>
    <xdr:graphicFrame>
      <xdr:nvGraphicFramePr>
        <xdr:cNvPr id="1" name="Chart 17"/>
        <xdr:cNvGraphicFramePr/>
      </xdr:nvGraphicFramePr>
      <xdr:xfrm>
        <a:off x="304800" y="5010150"/>
        <a:ext cx="57245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7</xdr:row>
      <xdr:rowOff>66675</xdr:rowOff>
    </xdr:from>
    <xdr:to>
      <xdr:col>9</xdr:col>
      <xdr:colOff>333375</xdr:colOff>
      <xdr:row>10</xdr:row>
      <xdr:rowOff>47625</xdr:rowOff>
    </xdr:to>
    <xdr:pic>
      <xdr:nvPicPr>
        <xdr:cNvPr id="1" name="Picture 15" descr="(Dd_y+/-sgn^*(d_y)d_xsqrt(r^2d_r^2-D^2))/(d_r^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200150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11</xdr:row>
      <xdr:rowOff>95250</xdr:rowOff>
    </xdr:from>
    <xdr:to>
      <xdr:col>9</xdr:col>
      <xdr:colOff>28575</xdr:colOff>
      <xdr:row>14</xdr:row>
      <xdr:rowOff>76200</xdr:rowOff>
    </xdr:to>
    <xdr:pic>
      <xdr:nvPicPr>
        <xdr:cNvPr id="2" name="Picture 18" descr="(-Dd_x+/-|d_y|sqrt(r^2d_r^2-D^2))/(d_r^2),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876425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15</xdr:row>
      <xdr:rowOff>85725</xdr:rowOff>
    </xdr:from>
    <xdr:to>
      <xdr:col>7</xdr:col>
      <xdr:colOff>552450</xdr:colOff>
      <xdr:row>16</xdr:row>
      <xdr:rowOff>114300</xdr:rowOff>
    </xdr:to>
    <xdr:pic>
      <xdr:nvPicPr>
        <xdr:cNvPr id="3" name="Picture 21" descr="Delta=r^2d_r^2-D^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2514600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25</xdr:row>
      <xdr:rowOff>104775</xdr:rowOff>
    </xdr:from>
    <xdr:to>
      <xdr:col>6</xdr:col>
      <xdr:colOff>19050</xdr:colOff>
      <xdr:row>27</xdr:row>
      <xdr:rowOff>38100</xdr:rowOff>
    </xdr:to>
    <xdr:pic>
      <xdr:nvPicPr>
        <xdr:cNvPr id="4" name="Picture 26" descr="s==sqrt(r^2+c^2)t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415290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0.184</cdr:y>
    </cdr:from>
    <cdr:to>
      <cdr:x>0.39175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695325"/>
          <a:ext cx="1285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'Angle' of reeve point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3</xdr:row>
      <xdr:rowOff>47625</xdr:rowOff>
    </xdr:from>
    <xdr:to>
      <xdr:col>16</xdr:col>
      <xdr:colOff>314325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171950" y="5334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4" width="7.140625" style="0" customWidth="1"/>
    <col min="15" max="15" width="3.140625" style="0" customWidth="1"/>
    <col min="16" max="19" width="5.421875" style="0" customWidth="1"/>
    <col min="20" max="20" width="8.28125" style="0" customWidth="1"/>
    <col min="21" max="21" width="7.140625" style="0" customWidth="1"/>
    <col min="22" max="25" width="5.7109375" style="0" customWidth="1"/>
    <col min="26" max="30" width="7.140625" style="0" customWidth="1"/>
    <col min="31" max="45" width="7.00390625" style="0" customWidth="1"/>
  </cols>
  <sheetData>
    <row r="1" ht="15.75">
      <c r="A1" s="3" t="s">
        <v>84</v>
      </c>
    </row>
    <row r="2" spans="17:18" ht="12.75">
      <c r="Q2" s="1" t="s">
        <v>17</v>
      </c>
      <c r="R2" s="2">
        <f>J3</f>
        <v>6.5</v>
      </c>
    </row>
    <row r="3" spans="1:20" ht="12.75">
      <c r="A3" t="s">
        <v>0</v>
      </c>
      <c r="D3" s="5">
        <v>11</v>
      </c>
      <c r="E3" t="s">
        <v>1</v>
      </c>
      <c r="G3" t="s">
        <v>79</v>
      </c>
      <c r="J3" s="4">
        <v>6.5</v>
      </c>
      <c r="K3" t="s">
        <v>1</v>
      </c>
      <c r="Q3" s="1" t="s">
        <v>57</v>
      </c>
      <c r="R3" s="2">
        <f>ringr*SIN(PI()*J4/180)</f>
        <v>5.629165124598851</v>
      </c>
      <c r="S3" s="9" t="s">
        <v>59</v>
      </c>
      <c r="T3" s="2">
        <f>-R3</f>
        <v>-5.629165124598851</v>
      </c>
    </row>
    <row r="4" spans="1:20" ht="12.75">
      <c r="A4" t="s">
        <v>2</v>
      </c>
      <c r="D4" s="4">
        <v>10.5</v>
      </c>
      <c r="E4" t="s">
        <v>1</v>
      </c>
      <c r="G4" t="s">
        <v>80</v>
      </c>
      <c r="J4" s="4">
        <v>60</v>
      </c>
      <c r="K4" t="s">
        <v>4</v>
      </c>
      <c r="Q4" s="1" t="s">
        <v>58</v>
      </c>
      <c r="R4" s="2">
        <f>ringr*COS(PI()*J4/180)</f>
        <v>3.250000000000001</v>
      </c>
      <c r="S4" s="9" t="s">
        <v>60</v>
      </c>
      <c r="T4" s="2">
        <f>R4</f>
        <v>3.250000000000001</v>
      </c>
    </row>
    <row r="5" spans="1:28" ht="12.75">
      <c r="A5" t="s">
        <v>3</v>
      </c>
      <c r="D5" s="10">
        <v>20</v>
      </c>
      <c r="E5" t="s">
        <v>1</v>
      </c>
      <c r="G5" t="s">
        <v>45</v>
      </c>
      <c r="J5" s="4">
        <v>15</v>
      </c>
      <c r="K5" t="s">
        <v>1</v>
      </c>
      <c r="Q5" s="1" t="s">
        <v>46</v>
      </c>
      <c r="R5" s="2">
        <f>2*SQRT(($R$3)^2+(pivot+gather-$R$4)^2)</f>
        <v>55.65069631190611</v>
      </c>
      <c r="S5" s="2" t="s">
        <v>81</v>
      </c>
      <c r="T5" s="2"/>
      <c r="AB5" s="14" t="s">
        <v>72</v>
      </c>
    </row>
    <row r="6" spans="1:28" ht="12.75">
      <c r="A6" t="s">
        <v>8</v>
      </c>
      <c r="D6" s="5">
        <v>90</v>
      </c>
      <c r="E6" t="s">
        <v>4</v>
      </c>
      <c r="G6" t="s">
        <v>64</v>
      </c>
      <c r="J6" s="5">
        <v>5</v>
      </c>
      <c r="K6" t="s">
        <v>4</v>
      </c>
      <c r="Q6" s="1" t="s">
        <v>47</v>
      </c>
      <c r="R6" s="2">
        <f>SQRT(J5^2+$R$3^2+($R$4-ringr)^2)</f>
        <v>16.347782724271816</v>
      </c>
      <c r="S6" t="s">
        <v>82</v>
      </c>
      <c r="AB6" s="14" t="s">
        <v>73</v>
      </c>
    </row>
    <row r="7" spans="12:30" ht="12.75">
      <c r="L7" s="2"/>
      <c r="M7" s="2"/>
      <c r="N7" s="2"/>
      <c r="O7" s="2"/>
      <c r="S7" t="s">
        <v>51</v>
      </c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45" ht="12.75">
      <c r="B8" s="1" t="s">
        <v>75</v>
      </c>
      <c r="C8" s="2">
        <f>AS12+AD12+H12</f>
        <v>0</v>
      </c>
      <c r="L8" s="2"/>
      <c r="M8" s="2"/>
      <c r="N8" s="2"/>
      <c r="O8" s="2"/>
      <c r="P8" s="16" t="s">
        <v>62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/>
      <c r="AE8" s="16" t="s">
        <v>61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8"/>
    </row>
    <row r="9" spans="3:46" ht="12.75">
      <c r="C9" s="1" t="s">
        <v>74</v>
      </c>
      <c r="F9" s="1" t="s">
        <v>10</v>
      </c>
      <c r="G9" s="1" t="s">
        <v>12</v>
      </c>
      <c r="H9" s="1" t="s">
        <v>13</v>
      </c>
      <c r="I9" s="1" t="s">
        <v>52</v>
      </c>
      <c r="J9" s="1" t="s">
        <v>52</v>
      </c>
      <c r="K9" s="1" t="s">
        <v>18</v>
      </c>
      <c r="L9" s="1" t="s">
        <v>19</v>
      </c>
      <c r="M9" s="1" t="s">
        <v>18</v>
      </c>
      <c r="N9" s="1" t="s">
        <v>19</v>
      </c>
      <c r="O9" s="1"/>
      <c r="P9" s="1"/>
      <c r="Q9" s="1"/>
      <c r="R9" s="1"/>
      <c r="S9" s="1"/>
      <c r="T9" s="1"/>
      <c r="U9" s="1"/>
      <c r="V9" s="15" t="s">
        <v>63</v>
      </c>
      <c r="W9" s="15"/>
      <c r="X9" s="15"/>
      <c r="Y9" s="15"/>
      <c r="Z9" s="1"/>
      <c r="AA9" s="1" t="s">
        <v>43</v>
      </c>
      <c r="AB9" s="1"/>
      <c r="AC9" s="1"/>
      <c r="AD9" s="1" t="s">
        <v>67</v>
      </c>
      <c r="AE9" s="1"/>
      <c r="AF9" s="1"/>
      <c r="AG9" s="1"/>
      <c r="AH9" s="1"/>
      <c r="AI9" s="1"/>
      <c r="AJ9" s="1"/>
      <c r="AK9" s="15" t="s">
        <v>63</v>
      </c>
      <c r="AL9" s="15"/>
      <c r="AM9" s="15"/>
      <c r="AN9" s="15"/>
      <c r="AO9" s="1"/>
      <c r="AP9" s="1" t="s">
        <v>43</v>
      </c>
      <c r="AQ9" s="1"/>
      <c r="AR9" s="1"/>
      <c r="AS9" s="1" t="s">
        <v>68</v>
      </c>
      <c r="AT9" s="1" t="s">
        <v>85</v>
      </c>
    </row>
    <row r="10" spans="2:46" ht="12.75">
      <c r="B10" s="1" t="s">
        <v>5</v>
      </c>
      <c r="C10" s="1" t="s">
        <v>14</v>
      </c>
      <c r="D10" s="1" t="s">
        <v>6</v>
      </c>
      <c r="E10" s="1" t="s">
        <v>7</v>
      </c>
      <c r="F10" s="1" t="s">
        <v>11</v>
      </c>
      <c r="G10" s="1" t="s">
        <v>11</v>
      </c>
      <c r="H10" s="1" t="s">
        <v>14</v>
      </c>
      <c r="I10" s="1" t="s">
        <v>15</v>
      </c>
      <c r="J10" s="1" t="s">
        <v>16</v>
      </c>
      <c r="K10" s="1" t="s">
        <v>44</v>
      </c>
      <c r="L10" s="1" t="s">
        <v>44</v>
      </c>
      <c r="M10" s="1" t="s">
        <v>48</v>
      </c>
      <c r="N10" s="1" t="s">
        <v>48</v>
      </c>
      <c r="O10" s="1"/>
      <c r="P10" s="1" t="s">
        <v>26</v>
      </c>
      <c r="Q10" s="1" t="s">
        <v>34</v>
      </c>
      <c r="R10" s="1" t="s">
        <v>35</v>
      </c>
      <c r="S10" s="1" t="s">
        <v>36</v>
      </c>
      <c r="T10" s="1" t="s">
        <v>31</v>
      </c>
      <c r="U10" s="1" t="s">
        <v>42</v>
      </c>
      <c r="V10" s="1" t="s">
        <v>37</v>
      </c>
      <c r="W10" s="1" t="s">
        <v>39</v>
      </c>
      <c r="X10" s="1" t="s">
        <v>38</v>
      </c>
      <c r="Y10" s="1" t="s">
        <v>40</v>
      </c>
      <c r="Z10" s="1" t="s">
        <v>69</v>
      </c>
      <c r="AA10" s="1" t="s">
        <v>50</v>
      </c>
      <c r="AB10" s="1" t="s">
        <v>70</v>
      </c>
      <c r="AC10" s="1" t="s">
        <v>71</v>
      </c>
      <c r="AD10" s="1" t="s">
        <v>14</v>
      </c>
      <c r="AE10" s="1" t="s">
        <v>26</v>
      </c>
      <c r="AF10" s="1" t="s">
        <v>34</v>
      </c>
      <c r="AG10" s="1" t="s">
        <v>35</v>
      </c>
      <c r="AH10" s="1" t="s">
        <v>36</v>
      </c>
      <c r="AI10" s="1" t="s">
        <v>31</v>
      </c>
      <c r="AJ10" s="1" t="s">
        <v>42</v>
      </c>
      <c r="AK10" s="1" t="s">
        <v>37</v>
      </c>
      <c r="AL10" s="1" t="s">
        <v>39</v>
      </c>
      <c r="AM10" s="1" t="s">
        <v>38</v>
      </c>
      <c r="AN10" s="1" t="s">
        <v>40</v>
      </c>
      <c r="AO10" s="1" t="s">
        <v>69</v>
      </c>
      <c r="AP10" s="1" t="s">
        <v>50</v>
      </c>
      <c r="AQ10" s="1" t="s">
        <v>70</v>
      </c>
      <c r="AR10" s="1" t="s">
        <v>71</v>
      </c>
      <c r="AS10" s="1" t="s">
        <v>14</v>
      </c>
      <c r="AT10" s="1" t="s">
        <v>86</v>
      </c>
    </row>
    <row r="11" spans="1:46" ht="12.75">
      <c r="A11" s="1" t="s">
        <v>49</v>
      </c>
      <c r="B11" s="1" t="s">
        <v>4</v>
      </c>
      <c r="C11" s="1" t="s">
        <v>1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  <c r="I11" s="1" t="s">
        <v>1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/>
      <c r="P11" s="1"/>
      <c r="Q11" s="1"/>
      <c r="R11" s="1"/>
      <c r="S11" s="1"/>
      <c r="T11" s="1"/>
      <c r="U11" s="1"/>
      <c r="V11" s="1" t="s">
        <v>1</v>
      </c>
      <c r="W11" s="1" t="s">
        <v>1</v>
      </c>
      <c r="X11" s="1" t="s">
        <v>1</v>
      </c>
      <c r="Y11" s="1" t="s">
        <v>1</v>
      </c>
      <c r="Z11" s="1" t="s">
        <v>1</v>
      </c>
      <c r="AA11" s="1" t="s">
        <v>4</v>
      </c>
      <c r="AB11" s="1" t="s">
        <v>1</v>
      </c>
      <c r="AC11" s="1" t="s">
        <v>1</v>
      </c>
      <c r="AD11" s="1" t="s">
        <v>1</v>
      </c>
      <c r="AE11" s="1"/>
      <c r="AF11" s="1"/>
      <c r="AG11" s="1"/>
      <c r="AH11" s="1"/>
      <c r="AI11" s="1"/>
      <c r="AJ11" s="1"/>
      <c r="AK11" s="1" t="s">
        <v>1</v>
      </c>
      <c r="AL11" s="1" t="s">
        <v>1</v>
      </c>
      <c r="AM11" s="1" t="s">
        <v>1</v>
      </c>
      <c r="AN11" s="1" t="s">
        <v>1</v>
      </c>
      <c r="AO11" s="1" t="s">
        <v>1</v>
      </c>
      <c r="AP11" s="1" t="s">
        <v>4</v>
      </c>
      <c r="AQ11" s="1" t="s">
        <v>1</v>
      </c>
      <c r="AR11" s="1" t="s">
        <v>1</v>
      </c>
      <c r="AS11" s="1" t="s">
        <v>1</v>
      </c>
      <c r="AT11" s="1" t="s">
        <v>1</v>
      </c>
    </row>
    <row r="12" spans="1:46" ht="12.75">
      <c r="A12">
        <v>0</v>
      </c>
      <c r="B12">
        <f>A12*incr</f>
        <v>0</v>
      </c>
      <c r="C12" s="6">
        <f>AS12+AD12+H12-$C$8</f>
        <v>0</v>
      </c>
      <c r="D12" s="2">
        <f>gather*SIN(PI()*B12/180)</f>
        <v>0</v>
      </c>
      <c r="E12" s="2">
        <f>gather*COS(PI()*B12/180)+pivot</f>
        <v>30.5</v>
      </c>
      <c r="F12" s="2">
        <f aca="true" t="shared" si="0" ref="F12:F30">SQRT((D12-$R$3)^2+(E12-$R$4)^2)</f>
        <v>27.825348155953055</v>
      </c>
      <c r="G12" s="2">
        <f aca="true" t="shared" si="1" ref="G12:G30">SQRT((D12+$R$3)^2+(E12-$R$4)^2)</f>
        <v>27.825348155953055</v>
      </c>
      <c r="H12" s="11">
        <f aca="true" t="shared" si="2" ref="H12:H30">IF(arrest&gt;=B12,$R$5-F12-G12,H11)</f>
        <v>0</v>
      </c>
      <c r="I12" s="2">
        <f aca="true" t="shared" si="3" ref="I12:I30">ringr*SIN(PI()*B12/180)</f>
        <v>0</v>
      </c>
      <c r="J12" s="2">
        <f aca="true" t="shared" si="4" ref="J12:J30">ringr*COS(PI()*B12/180)</f>
        <v>6.5</v>
      </c>
      <c r="K12" s="2">
        <f aca="true" t="shared" si="5" ref="K12:K30">SQRT((I12-$R$3)^2+(J12-$R$4)^2)</f>
        <v>6.499999999999999</v>
      </c>
      <c r="L12" s="2">
        <f aca="true" t="shared" si="6" ref="L12:L30">SQRT((I12+$R$3)^2+(J12-$R$4)^2)</f>
        <v>6.499999999999999</v>
      </c>
      <c r="M12" s="2">
        <f aca="true" t="shared" si="7" ref="M12:M30">SQRT(K12^2+$J$5^2)</f>
        <v>16.347782724271816</v>
      </c>
      <c r="N12" s="2">
        <f aca="true" t="shared" si="8" ref="N12:N30">SQRT(L12^2+$J$5^2)</f>
        <v>16.347782724271816</v>
      </c>
      <c r="P12" s="2">
        <f>-I12+$T$3</f>
        <v>-5.629165124598851</v>
      </c>
      <c r="Q12" s="2">
        <f>-J12+$T$4</f>
        <v>-3.249999999999999</v>
      </c>
      <c r="R12" s="2">
        <f>SQRT(P12^2+Q12^2)</f>
        <v>6.499999999999999</v>
      </c>
      <c r="S12" s="7">
        <f>I12*$T$4-J12*$T$3</f>
        <v>36.58957330989253</v>
      </c>
      <c r="T12" s="2">
        <f aca="true" t="shared" si="9" ref="T12:T30">(mast/2)^2*R12^2-S12^2</f>
        <v>-60.73437500000023</v>
      </c>
      <c r="U12" s="2">
        <f>IF(T12&lt;0,0,SQRT(T12))</f>
        <v>0</v>
      </c>
      <c r="V12" s="2">
        <f aca="true" t="shared" si="10" ref="V12:V23">IF(U12&gt;0,IF(Q12&lt;&gt;0,(S12*Q12+SIGN(Q12)*P12*U12)/R12^2,(S12*Q12+P12*U12)/R12^2),0)</f>
        <v>0</v>
      </c>
      <c r="W12" s="2">
        <f aca="true" t="shared" si="11" ref="W12:W30">IF(U12&gt;0,(-S12*P12+ABS(Q12)*U12)/R12^2,0)</f>
        <v>0</v>
      </c>
      <c r="X12" s="2">
        <f>IF(U12&gt;0,IF(Q12&lt;&gt;0,(S12*Q12-SIGN(Q12)*P12*U12)/R12^2,(S12*Q12-P12*U12)/R12^2),0)</f>
        <v>0</v>
      </c>
      <c r="Y12" s="2">
        <f aca="true" t="shared" si="12" ref="Y12:Y30">IF(U12&gt;0,(-S12*P12-ABS(Q12)*U12)/R12^2,0)</f>
        <v>0</v>
      </c>
      <c r="Z12" s="2">
        <f aca="true" t="shared" si="13" ref="Z12:Z30">SQRT((V12-X12)^2+(W12-Y12)^2)</f>
        <v>0</v>
      </c>
      <c r="AA12" s="2">
        <f aca="true" t="shared" si="14" ref="AA12:AA30">2*180*ASIN(Z12/mast)/PI()</f>
        <v>0</v>
      </c>
      <c r="AB12" s="2">
        <f>(Z12/2)*TAN(PI()*AA12/720)</f>
        <v>0</v>
      </c>
      <c r="AC12" s="2">
        <f>2*SQRT(AB12^2+(N12/2)^2)</f>
        <v>16.347782724271816</v>
      </c>
      <c r="AD12" s="11">
        <f>$R$6-AC12</f>
        <v>0</v>
      </c>
      <c r="AE12" s="2">
        <f>-I12+$R$3</f>
        <v>5.629165124598851</v>
      </c>
      <c r="AF12" s="12">
        <f>-J12+$R$4</f>
        <v>-3.249999999999999</v>
      </c>
      <c r="AG12" s="2">
        <f>SQRT(AE12^2+AF12^2)</f>
        <v>6.499999999999999</v>
      </c>
      <c r="AH12" s="12">
        <f>I12*$R$4-J12*$R$3</f>
        <v>-36.58957330989253</v>
      </c>
      <c r="AI12" s="2">
        <f aca="true" t="shared" si="15" ref="AI12:AI30">(mast/2)^2*AG12^2-AH12^2</f>
        <v>-60.73437500000023</v>
      </c>
      <c r="AJ12" s="2">
        <f>IF(AI12&lt;0,0,SQRT(AI12))</f>
        <v>0</v>
      </c>
      <c r="AK12" s="2">
        <f>IF(AJ12&gt;0,IF(AF12&lt;&gt;0,(AH12*AF12+SIGN(AF12)*AE12*AJ12)/AG12^2,(AH12*AF12+AE12*AJ12)/AG12^2),0)</f>
        <v>0</v>
      </c>
      <c r="AL12" s="2">
        <f>IF(AJ12&gt;0,(-AH12*AE12+ABS(AF12)*AJ12)/AG12^2,0)</f>
        <v>0</v>
      </c>
      <c r="AM12" s="2">
        <f>IF(AJ12&gt;0,IF(AF12&lt;&gt;0,(AH12*AF12-SIGN(AF12)*AE12*AJ12)/AG12^2,(AH12*AF12-AE12*AJ12)/AG12^2),0)</f>
        <v>0</v>
      </c>
      <c r="AN12" s="2">
        <f>IF(AJ12&gt;0,(-AH12*AE12-ABS(AF12)*AJ12)/AG12^2,0)</f>
        <v>0</v>
      </c>
      <c r="AO12" s="2">
        <f>SQRT((AK12-AM12)^2+(AL12-AN12)^2)</f>
        <v>0</v>
      </c>
      <c r="AP12" s="2">
        <f aca="true" t="shared" si="16" ref="AP12:AP30">2*180*ASIN(AO12/mast)/PI()</f>
        <v>0</v>
      </c>
      <c r="AQ12" s="2">
        <f>(AO12/2)*TAN(PI()*AP12/720)</f>
        <v>0</v>
      </c>
      <c r="AR12" s="2">
        <f>2*SQRT(AQ12^2+(M12/2)^2)</f>
        <v>16.347782724271816</v>
      </c>
      <c r="AS12" s="11">
        <f aca="true" t="shared" si="17" ref="AS12:AS30">$R$6-AR12</f>
        <v>0</v>
      </c>
      <c r="AT12" s="2">
        <f>AD12+AS12</f>
        <v>0</v>
      </c>
    </row>
    <row r="13" spans="1:46" ht="12.75">
      <c r="A13">
        <f aca="true" t="shared" si="18" ref="A13:A30">A12+1</f>
        <v>1</v>
      </c>
      <c r="B13">
        <f aca="true" t="shared" si="19" ref="B13:B30">A13*incr</f>
        <v>5</v>
      </c>
      <c r="C13" s="6">
        <f aca="true" t="shared" si="20" ref="C13:C30">AS13+AD13+H13-$C$8</f>
        <v>0.03660706425470295</v>
      </c>
      <c r="D13" s="2">
        <f aca="true" t="shared" si="21" ref="D13:D30">gather*SIN(PI()*B13/180)</f>
        <v>1.7431148549531632</v>
      </c>
      <c r="E13" s="2">
        <f aca="true" t="shared" si="22" ref="E13:E30">gather*COS(PI()*B13/180)+pivot</f>
        <v>30.42389396183491</v>
      </c>
      <c r="F13" s="2">
        <f t="shared" si="0"/>
        <v>27.45035336288517</v>
      </c>
      <c r="G13" s="2">
        <f t="shared" si="1"/>
        <v>28.15618981939764</v>
      </c>
      <c r="H13" s="11">
        <f t="shared" si="2"/>
        <v>0.0441531296233002</v>
      </c>
      <c r="I13" s="2">
        <f t="shared" si="3"/>
        <v>0.5665123278597781</v>
      </c>
      <c r="J13" s="2">
        <f t="shared" si="4"/>
        <v>6.475265537596346</v>
      </c>
      <c r="K13" s="2">
        <f t="shared" si="5"/>
        <v>6.00273197205544</v>
      </c>
      <c r="L13" s="2">
        <f t="shared" si="6"/>
        <v>6.984894908508709</v>
      </c>
      <c r="M13" s="2">
        <f t="shared" si="7"/>
        <v>16.156509249473928</v>
      </c>
      <c r="N13" s="2">
        <f t="shared" si="8"/>
        <v>16.546563295225717</v>
      </c>
      <c r="P13" s="2">
        <f aca="true" t="shared" si="23" ref="P13:P30">-I13+$T$3</f>
        <v>-6.195677452458629</v>
      </c>
      <c r="Q13" s="2">
        <f aca="true" t="shared" si="24" ref="Q13:Q30">-J13+$T$4</f>
        <v>-3.2252655375963455</v>
      </c>
      <c r="R13" s="2">
        <f aca="true" t="shared" si="25" ref="R13:R30">SQRT(P13^2+Q13^2)</f>
        <v>6.984894908508709</v>
      </c>
      <c r="S13" s="7">
        <f aca="true" t="shared" si="26" ref="S13:S30">I13*$T$4-J13*$T$3</f>
        <v>38.29150400229846</v>
      </c>
      <c r="T13" s="2">
        <f t="shared" si="9"/>
        <v>9.620616950015119</v>
      </c>
      <c r="U13" s="2">
        <f aca="true" t="shared" si="27" ref="U13:U30">IF(T13&lt;0,0,SQRT(T13))</f>
        <v>3.1017119385937693</v>
      </c>
      <c r="V13" s="2">
        <f t="shared" si="10"/>
        <v>-2.1374404305821852</v>
      </c>
      <c r="W13" s="2">
        <f t="shared" si="11"/>
        <v>5.067676825302956</v>
      </c>
      <c r="X13" s="2">
        <f aca="true" t="shared" si="28" ref="X13:X30">IF(U13&gt;0,IF(Q13&lt;&gt;0,(S13*Q13-SIGN(Q13)*P13*U13)/R13^2,(S13*Q13-P13*U13)/R13^2),0)</f>
        <v>-2.925212366156888</v>
      </c>
      <c r="Y13" s="2">
        <f t="shared" si="12"/>
        <v>4.657588712293392</v>
      </c>
      <c r="Z13" s="2">
        <f t="shared" si="13"/>
        <v>0.8881198584148757</v>
      </c>
      <c r="AA13" s="2">
        <f t="shared" si="14"/>
        <v>9.261993919312264</v>
      </c>
      <c r="AB13" s="2">
        <f aca="true" t="shared" si="29" ref="AB13:AB30">(Z13/2)*TAN(PI()*AA13/720)</f>
        <v>0.01795560221624206</v>
      </c>
      <c r="AC13" s="2">
        <f aca="true" t="shared" si="30" ref="AC13:AC30">2*SQRT(AB13^2+(N13/2)^2)</f>
        <v>16.546602264438302</v>
      </c>
      <c r="AD13" s="11">
        <f aca="true" t="shared" si="31" ref="AD13:AD30">$R$6-AC13</f>
        <v>-0.19881954016648606</v>
      </c>
      <c r="AE13" s="2">
        <f aca="true" t="shared" si="32" ref="AE13:AE30">-I13+$R$3</f>
        <v>5.062652796739073</v>
      </c>
      <c r="AF13" s="12">
        <f aca="true" t="shared" si="33" ref="AF13:AF30">-J13+$R$4</f>
        <v>-3.2252655375963455</v>
      </c>
      <c r="AG13" s="2">
        <f aca="true" t="shared" si="34" ref="AG13:AG30">SQRT(AE13^2+AF13^2)</f>
        <v>6.00273197205544</v>
      </c>
      <c r="AH13" s="12">
        <f aca="true" t="shared" si="35" ref="AH13:AH30">I13*$R$4-J13*$R$3</f>
        <v>-34.6091738712099</v>
      </c>
      <c r="AI13" s="2">
        <f t="shared" si="15"/>
        <v>-107.80298441545574</v>
      </c>
      <c r="AJ13" s="2">
        <f aca="true" t="shared" si="36" ref="AJ13:AJ30">IF(AI13&lt;0,0,SQRT(AI13))</f>
        <v>0</v>
      </c>
      <c r="AK13" s="2">
        <f aca="true" t="shared" si="37" ref="AK13:AK30">IF(AJ13&gt;0,IF(AF13&lt;&gt;0,(AH13*AF13+SIGN(AF13)*AE13*AJ13)/AG13^2,(AH13*AF13+AE13*AJ13)/AG13^2),0)</f>
        <v>0</v>
      </c>
      <c r="AL13" s="2">
        <f aca="true" t="shared" si="38" ref="AL13:AL30">IF(AJ13&gt;0,(-AH13*AE13+ABS(AF13)*AJ13)/AG13^2,0)</f>
        <v>0</v>
      </c>
      <c r="AM13" s="2">
        <f aca="true" t="shared" si="39" ref="AM13:AM30">IF(AJ13&gt;0,IF(AF13&lt;&gt;0,(AH13*AF13-SIGN(AF13)*AE13*AJ13)/AG13^2,(AH13*AF13-AE13*AJ13)/AG13^2),0)</f>
        <v>0</v>
      </c>
      <c r="AN13" s="2">
        <f aca="true" t="shared" si="40" ref="AN13:AN30">IF(AJ13&gt;0,(-AH13*AE13-ABS(AF13)*AJ13)/AG13^2,0)</f>
        <v>0</v>
      </c>
      <c r="AO13" s="2">
        <f aca="true" t="shared" si="41" ref="AO13:AO30">SQRT((AK13-AM13)^2+(AL13-AN13)^2)</f>
        <v>0</v>
      </c>
      <c r="AP13" s="2">
        <f t="shared" si="16"/>
        <v>0</v>
      </c>
      <c r="AQ13" s="2">
        <f aca="true" t="shared" si="42" ref="AQ13:AQ30">(AO13/2)*TAN(PI()*AP13/720)</f>
        <v>0</v>
      </c>
      <c r="AR13" s="2">
        <f aca="true" t="shared" si="43" ref="AR13:AR30">2*SQRT(AQ13^2+(M13/2)^2)</f>
        <v>16.156509249473928</v>
      </c>
      <c r="AS13" s="11">
        <f t="shared" si="17"/>
        <v>0.1912734747978888</v>
      </c>
      <c r="AT13" s="2">
        <f aca="true" t="shared" si="44" ref="AT13:AT30">AD13+AS13</f>
        <v>-0.0075460653685972545</v>
      </c>
    </row>
    <row r="14" spans="1:46" ht="12.75">
      <c r="A14">
        <f t="shared" si="18"/>
        <v>2</v>
      </c>
      <c r="B14">
        <f t="shared" si="19"/>
        <v>10</v>
      </c>
      <c r="C14" s="6">
        <f t="shared" si="20"/>
        <v>0.1427651902161653</v>
      </c>
      <c r="D14" s="2">
        <f t="shared" si="21"/>
        <v>3.4729635533386065</v>
      </c>
      <c r="E14" s="2">
        <f t="shared" si="22"/>
        <v>30.19615506024416</v>
      </c>
      <c r="F14" s="2">
        <f t="shared" si="0"/>
        <v>27.032285840206466</v>
      </c>
      <c r="G14" s="2">
        <f t="shared" si="1"/>
        <v>28.4419411960656</v>
      </c>
      <c r="H14" s="11">
        <f t="shared" si="2"/>
        <v>0.17646927563404446</v>
      </c>
      <c r="I14" s="2">
        <f t="shared" si="3"/>
        <v>1.128713154835047</v>
      </c>
      <c r="J14" s="2">
        <f t="shared" si="4"/>
        <v>6.401250394579352</v>
      </c>
      <c r="K14" s="2">
        <f t="shared" si="5"/>
        <v>5.494037402629092</v>
      </c>
      <c r="L14" s="2">
        <f t="shared" si="6"/>
        <v>7.456493672563599</v>
      </c>
      <c r="M14" s="2">
        <f t="shared" si="7"/>
        <v>15.97449363771783</v>
      </c>
      <c r="N14" s="2">
        <f t="shared" si="8"/>
        <v>16.751098408432235</v>
      </c>
      <c r="P14" s="2">
        <f t="shared" si="23"/>
        <v>-6.757878279433898</v>
      </c>
      <c r="Q14" s="2">
        <f t="shared" si="24"/>
        <v>-3.1512503945793515</v>
      </c>
      <c r="R14" s="2">
        <f t="shared" si="25"/>
        <v>7.456493672563599</v>
      </c>
      <c r="S14" s="7">
        <f t="shared" si="26"/>
        <v>39.70201322820463</v>
      </c>
      <c r="T14" s="2">
        <f t="shared" si="9"/>
        <v>105.62890676913958</v>
      </c>
      <c r="U14" s="2">
        <f t="shared" si="27"/>
        <v>10.277592459770895</v>
      </c>
      <c r="V14" s="2">
        <f t="shared" si="10"/>
        <v>-1.0010246192919179</v>
      </c>
      <c r="W14" s="2">
        <f t="shared" si="11"/>
        <v>5.408137360641968</v>
      </c>
      <c r="X14" s="2">
        <f t="shared" si="28"/>
        <v>-3.499427350471885</v>
      </c>
      <c r="Y14" s="2">
        <f t="shared" si="12"/>
        <v>4.243113033937385</v>
      </c>
      <c r="Z14" s="2">
        <f t="shared" si="13"/>
        <v>2.756682406259558</v>
      </c>
      <c r="AA14" s="2">
        <f t="shared" si="14"/>
        <v>29.02692660684568</v>
      </c>
      <c r="AB14" s="2">
        <f t="shared" si="29"/>
        <v>0.17551171212155325</v>
      </c>
      <c r="AC14" s="2">
        <f t="shared" si="30"/>
        <v>16.754775896243682</v>
      </c>
      <c r="AD14" s="11">
        <f t="shared" si="31"/>
        <v>-0.406993171971866</v>
      </c>
      <c r="AE14" s="2">
        <f t="shared" si="32"/>
        <v>4.5004519697638035</v>
      </c>
      <c r="AF14" s="12">
        <f t="shared" si="33"/>
        <v>-3.1512503945793515</v>
      </c>
      <c r="AG14" s="2">
        <f t="shared" si="34"/>
        <v>5.494037402629092</v>
      </c>
      <c r="AH14" s="12">
        <f t="shared" si="35"/>
        <v>-32.36537772177682</v>
      </c>
      <c r="AI14" s="2">
        <f t="shared" si="15"/>
        <v>-134.43815388329256</v>
      </c>
      <c r="AJ14" s="2">
        <f t="shared" si="36"/>
        <v>0</v>
      </c>
      <c r="AK14" s="2">
        <f t="shared" si="37"/>
        <v>0</v>
      </c>
      <c r="AL14" s="2">
        <f t="shared" si="38"/>
        <v>0</v>
      </c>
      <c r="AM14" s="2">
        <f t="shared" si="39"/>
        <v>0</v>
      </c>
      <c r="AN14" s="2">
        <f t="shared" si="40"/>
        <v>0</v>
      </c>
      <c r="AO14" s="2">
        <f t="shared" si="41"/>
        <v>0</v>
      </c>
      <c r="AP14" s="2">
        <f t="shared" si="16"/>
        <v>0</v>
      </c>
      <c r="AQ14" s="2">
        <f t="shared" si="42"/>
        <v>0</v>
      </c>
      <c r="AR14" s="2">
        <f t="shared" si="43"/>
        <v>15.97449363771783</v>
      </c>
      <c r="AS14" s="11">
        <f t="shared" si="17"/>
        <v>0.37328908655398685</v>
      </c>
      <c r="AT14" s="2">
        <f t="shared" si="44"/>
        <v>-0.03370408541787917</v>
      </c>
    </row>
    <row r="15" spans="1:46" ht="12.75">
      <c r="A15">
        <f t="shared" si="18"/>
        <v>3</v>
      </c>
      <c r="B15">
        <f t="shared" si="19"/>
        <v>15</v>
      </c>
      <c r="C15" s="6">
        <f t="shared" si="20"/>
        <v>0.3150823742345725</v>
      </c>
      <c r="D15" s="2">
        <f t="shared" si="21"/>
        <v>5.176380902050415</v>
      </c>
      <c r="E15" s="2">
        <f t="shared" si="22"/>
        <v>29.818516525781366</v>
      </c>
      <c r="F15" s="2">
        <f t="shared" si="0"/>
        <v>26.57237445041196</v>
      </c>
      <c r="G15" s="2">
        <f t="shared" si="1"/>
        <v>28.6818042548713</v>
      </c>
      <c r="H15" s="11">
        <f t="shared" si="2"/>
        <v>0.39651760662285085</v>
      </c>
      <c r="I15" s="2">
        <f t="shared" si="3"/>
        <v>1.6823237931663848</v>
      </c>
      <c r="J15" s="2">
        <f t="shared" si="4"/>
        <v>6.278517870878944</v>
      </c>
      <c r="K15" s="2">
        <f t="shared" si="5"/>
        <v>4.974884620746167</v>
      </c>
      <c r="L15" s="2">
        <f t="shared" si="6"/>
        <v>7.913898577113367</v>
      </c>
      <c r="M15" s="2">
        <f t="shared" si="7"/>
        <v>15.803464081958003</v>
      </c>
      <c r="N15" s="2">
        <f t="shared" si="8"/>
        <v>16.95965184456441</v>
      </c>
      <c r="P15" s="2">
        <f t="shared" si="23"/>
        <v>-7.311488917765235</v>
      </c>
      <c r="Q15" s="2">
        <f t="shared" si="24"/>
        <v>-3.028517870878943</v>
      </c>
      <c r="R15" s="2">
        <f t="shared" si="25"/>
        <v>7.913898577113367</v>
      </c>
      <c r="S15" s="7">
        <f t="shared" si="26"/>
        <v>40.81036616071313</v>
      </c>
      <c r="T15" s="2">
        <f t="shared" si="9"/>
        <v>229.06518216583936</v>
      </c>
      <c r="U15" s="2">
        <f t="shared" si="27"/>
        <v>15.134899476568695</v>
      </c>
      <c r="V15" s="2">
        <f t="shared" si="10"/>
        <v>-0.2065514397881559</v>
      </c>
      <c r="W15" s="2">
        <f t="shared" si="11"/>
        <v>5.496120131758533</v>
      </c>
      <c r="X15" s="2">
        <f t="shared" si="28"/>
        <v>-3.7402898916443093</v>
      </c>
      <c r="Y15" s="2">
        <f t="shared" si="12"/>
        <v>4.03239773912041</v>
      </c>
      <c r="Z15" s="2">
        <f t="shared" si="13"/>
        <v>3.82489093816242</v>
      </c>
      <c r="AA15" s="2">
        <f t="shared" si="14"/>
        <v>40.6955238727853</v>
      </c>
      <c r="AB15" s="2">
        <f t="shared" si="29"/>
        <v>0.34320328810697154</v>
      </c>
      <c r="AC15" s="2">
        <f t="shared" si="30"/>
        <v>16.973536598973908</v>
      </c>
      <c r="AD15" s="11">
        <f t="shared" si="31"/>
        <v>-0.6257538747020917</v>
      </c>
      <c r="AE15" s="2">
        <f t="shared" si="32"/>
        <v>3.946841331432466</v>
      </c>
      <c r="AF15" s="12">
        <f t="shared" si="33"/>
        <v>-3.028517870878943</v>
      </c>
      <c r="AG15" s="2">
        <f t="shared" si="34"/>
        <v>4.974884620746167</v>
      </c>
      <c r="AH15" s="12">
        <f t="shared" si="35"/>
        <v>-29.87526150513163</v>
      </c>
      <c r="AI15" s="2">
        <f t="shared" si="15"/>
        <v>-143.85957106046362</v>
      </c>
      <c r="AJ15" s="2">
        <f t="shared" si="36"/>
        <v>0</v>
      </c>
      <c r="AK15" s="2">
        <f t="shared" si="37"/>
        <v>0</v>
      </c>
      <c r="AL15" s="2">
        <f t="shared" si="38"/>
        <v>0</v>
      </c>
      <c r="AM15" s="2">
        <f t="shared" si="39"/>
        <v>0</v>
      </c>
      <c r="AN15" s="2">
        <f t="shared" si="40"/>
        <v>0</v>
      </c>
      <c r="AO15" s="2">
        <f t="shared" si="41"/>
        <v>0</v>
      </c>
      <c r="AP15" s="2">
        <f t="shared" si="16"/>
        <v>0</v>
      </c>
      <c r="AQ15" s="2">
        <f t="shared" si="42"/>
        <v>0</v>
      </c>
      <c r="AR15" s="2">
        <f t="shared" si="43"/>
        <v>15.803464081958003</v>
      </c>
      <c r="AS15" s="11">
        <f t="shared" si="17"/>
        <v>0.5443186423138133</v>
      </c>
      <c r="AT15" s="2">
        <f t="shared" si="44"/>
        <v>-0.08143523238827832</v>
      </c>
    </row>
    <row r="16" spans="1:46" ht="12.75">
      <c r="A16">
        <f t="shared" si="18"/>
        <v>4</v>
      </c>
      <c r="B16">
        <f t="shared" si="19"/>
        <v>20</v>
      </c>
      <c r="C16" s="6">
        <f t="shared" si="20"/>
        <v>0.5519666566587986</v>
      </c>
      <c r="D16" s="2">
        <f t="shared" si="21"/>
        <v>6.840402866513374</v>
      </c>
      <c r="E16" s="2">
        <f t="shared" si="22"/>
        <v>29.29385241571817</v>
      </c>
      <c r="F16" s="2">
        <f t="shared" si="0"/>
        <v>26.072003097559406</v>
      </c>
      <c r="G16" s="2">
        <f t="shared" si="1"/>
        <v>28.87511687485749</v>
      </c>
      <c r="H16" s="11">
        <f t="shared" si="2"/>
        <v>0.7035763394892136</v>
      </c>
      <c r="I16" s="2">
        <f t="shared" si="3"/>
        <v>2.2231309316168466</v>
      </c>
      <c r="J16" s="2">
        <f t="shared" si="4"/>
        <v>6.108002035108405</v>
      </c>
      <c r="K16" s="2">
        <f t="shared" si="5"/>
        <v>4.446261863233693</v>
      </c>
      <c r="L16" s="2">
        <f t="shared" si="6"/>
        <v>8.35623892592501</v>
      </c>
      <c r="M16" s="2">
        <f t="shared" si="7"/>
        <v>15.645102893763479</v>
      </c>
      <c r="N16" s="2">
        <f t="shared" si="8"/>
        <v>17.17051918222464</v>
      </c>
      <c r="P16" s="2">
        <f t="shared" si="23"/>
        <v>-7.852296056215698</v>
      </c>
      <c r="Q16" s="2">
        <f t="shared" si="24"/>
        <v>-2.858002035108404</v>
      </c>
      <c r="R16" s="2">
        <f t="shared" si="25"/>
        <v>8.35623892592501</v>
      </c>
      <c r="S16" s="7">
        <f t="shared" si="26"/>
        <v>41.608127564765795</v>
      </c>
      <c r="T16" s="2">
        <f t="shared" si="9"/>
        <v>381.0222724152941</v>
      </c>
      <c r="U16" s="2">
        <f t="shared" si="27"/>
        <v>19.51979181280615</v>
      </c>
      <c r="V16" s="2">
        <f t="shared" si="10"/>
        <v>0.49206187245322974</v>
      </c>
      <c r="W16" s="2">
        <f t="shared" si="11"/>
        <v>5.477944424113648</v>
      </c>
      <c r="X16" s="2">
        <f t="shared" si="28"/>
        <v>-3.898096065435235</v>
      </c>
      <c r="Y16" s="2">
        <f t="shared" si="12"/>
        <v>3.8800576109947573</v>
      </c>
      <c r="Z16" s="2">
        <f t="shared" si="13"/>
        <v>4.671908495159589</v>
      </c>
      <c r="AA16" s="2">
        <f t="shared" si="14"/>
        <v>50.265750844867064</v>
      </c>
      <c r="AB16" s="2">
        <f t="shared" si="29"/>
        <v>0.5207111197266416</v>
      </c>
      <c r="AC16" s="2">
        <f t="shared" si="30"/>
        <v>17.20207223761057</v>
      </c>
      <c r="AD16" s="11">
        <f t="shared" si="31"/>
        <v>-0.8542895133387525</v>
      </c>
      <c r="AE16" s="2">
        <f t="shared" si="32"/>
        <v>3.406034192982004</v>
      </c>
      <c r="AF16" s="12">
        <f t="shared" si="33"/>
        <v>-2.858002035108404</v>
      </c>
      <c r="AG16" s="2">
        <f t="shared" si="34"/>
        <v>4.446261863233693</v>
      </c>
      <c r="AH16" s="12">
        <f t="shared" si="35"/>
        <v>-27.157776509256284</v>
      </c>
      <c r="AI16" s="2">
        <f t="shared" si="15"/>
        <v>-139.52517709421022</v>
      </c>
      <c r="AJ16" s="2">
        <f t="shared" si="36"/>
        <v>0</v>
      </c>
      <c r="AK16" s="2">
        <f t="shared" si="37"/>
        <v>0</v>
      </c>
      <c r="AL16" s="2">
        <f t="shared" si="38"/>
        <v>0</v>
      </c>
      <c r="AM16" s="2">
        <f t="shared" si="39"/>
        <v>0</v>
      </c>
      <c r="AN16" s="2">
        <f t="shared" si="40"/>
        <v>0</v>
      </c>
      <c r="AO16" s="2">
        <f t="shared" si="41"/>
        <v>0</v>
      </c>
      <c r="AP16" s="2">
        <f t="shared" si="16"/>
        <v>0</v>
      </c>
      <c r="AQ16" s="2">
        <f t="shared" si="42"/>
        <v>0</v>
      </c>
      <c r="AR16" s="2">
        <f t="shared" si="43"/>
        <v>15.645102893763479</v>
      </c>
      <c r="AS16" s="11">
        <f t="shared" si="17"/>
        <v>0.7026798305083375</v>
      </c>
      <c r="AT16" s="2">
        <f t="shared" si="44"/>
        <v>-0.15160968283041498</v>
      </c>
    </row>
    <row r="17" spans="1:46" ht="12.75">
      <c r="A17">
        <f t="shared" si="18"/>
        <v>5</v>
      </c>
      <c r="B17">
        <f t="shared" si="19"/>
        <v>25</v>
      </c>
      <c r="C17" s="6">
        <f t="shared" si="20"/>
        <v>0.8515991002939423</v>
      </c>
      <c r="D17" s="2">
        <f t="shared" si="21"/>
        <v>8.452365234813989</v>
      </c>
      <c r="E17" s="2">
        <f t="shared" si="22"/>
        <v>28.626155740732997</v>
      </c>
      <c r="F17" s="2">
        <f t="shared" si="0"/>
        <v>25.53271899035148</v>
      </c>
      <c r="G17" s="2">
        <f t="shared" si="1"/>
        <v>29.02135037245858</v>
      </c>
      <c r="H17" s="11">
        <f t="shared" si="2"/>
        <v>1.0966269490960485</v>
      </c>
      <c r="I17" s="2">
        <f t="shared" si="3"/>
        <v>2.747018701314546</v>
      </c>
      <c r="J17" s="2">
        <f t="shared" si="4"/>
        <v>5.891000615738225</v>
      </c>
      <c r="K17" s="2">
        <f t="shared" si="5"/>
        <v>3.9091753935555498</v>
      </c>
      <c r="L17" s="2">
        <f t="shared" si="6"/>
        <v>8.782672699003582</v>
      </c>
      <c r="M17" s="2">
        <f t="shared" si="7"/>
        <v>15.501021006939517</v>
      </c>
      <c r="N17" s="2">
        <f t="shared" si="8"/>
        <v>17.382040724202174</v>
      </c>
      <c r="P17" s="2">
        <f t="shared" si="23"/>
        <v>-8.376183825913397</v>
      </c>
      <c r="Q17" s="2">
        <f t="shared" si="24"/>
        <v>-2.641000615738224</v>
      </c>
      <c r="R17" s="2">
        <f t="shared" si="25"/>
        <v>8.782672699003582</v>
      </c>
      <c r="S17" s="7">
        <f t="shared" si="26"/>
        <v>42.08922599437625</v>
      </c>
      <c r="T17" s="2">
        <f t="shared" si="9"/>
        <v>561.8410822634644</v>
      </c>
      <c r="U17" s="2">
        <f t="shared" si="27"/>
        <v>23.703187175218957</v>
      </c>
      <c r="V17" s="2">
        <f t="shared" si="10"/>
        <v>1.1328734866481107</v>
      </c>
      <c r="W17" s="2">
        <f t="shared" si="11"/>
        <v>5.382062584479092</v>
      </c>
      <c r="X17" s="2">
        <f t="shared" si="28"/>
        <v>-4.015019909932416</v>
      </c>
      <c r="Y17" s="2">
        <f t="shared" si="12"/>
        <v>3.7589380312591354</v>
      </c>
      <c r="Z17" s="2">
        <f t="shared" si="13"/>
        <v>5.397716159434736</v>
      </c>
      <c r="AA17" s="2">
        <f t="shared" si="14"/>
        <v>58.773395062539905</v>
      </c>
      <c r="AB17" s="2">
        <f t="shared" si="29"/>
        <v>0.7076973107341935</v>
      </c>
      <c r="AC17" s="2">
        <f t="shared" si="30"/>
        <v>17.439572290406222</v>
      </c>
      <c r="AD17" s="11">
        <f t="shared" si="31"/>
        <v>-1.0917895661344055</v>
      </c>
      <c r="AE17" s="2">
        <f t="shared" si="32"/>
        <v>2.8821464232843046</v>
      </c>
      <c r="AF17" s="12">
        <f t="shared" si="33"/>
        <v>-2.641000615738224</v>
      </c>
      <c r="AG17" s="2">
        <f t="shared" si="34"/>
        <v>3.9091753935555498</v>
      </c>
      <c r="AH17" s="12">
        <f t="shared" si="35"/>
        <v>-24.233604435831694</v>
      </c>
      <c r="AI17" s="2">
        <f t="shared" si="15"/>
        <v>-124.99760316056086</v>
      </c>
      <c r="AJ17" s="2">
        <f t="shared" si="36"/>
        <v>0</v>
      </c>
      <c r="AK17" s="2">
        <f t="shared" si="37"/>
        <v>0</v>
      </c>
      <c r="AL17" s="2">
        <f t="shared" si="38"/>
        <v>0</v>
      </c>
      <c r="AM17" s="2">
        <f t="shared" si="39"/>
        <v>0</v>
      </c>
      <c r="AN17" s="2">
        <f t="shared" si="40"/>
        <v>0</v>
      </c>
      <c r="AO17" s="2">
        <f t="shared" si="41"/>
        <v>0</v>
      </c>
      <c r="AP17" s="2">
        <f t="shared" si="16"/>
        <v>0</v>
      </c>
      <c r="AQ17" s="2">
        <f t="shared" si="42"/>
        <v>0</v>
      </c>
      <c r="AR17" s="2">
        <f t="shared" si="43"/>
        <v>15.501021006939517</v>
      </c>
      <c r="AS17" s="11">
        <f t="shared" si="17"/>
        <v>0.8467617173322992</v>
      </c>
      <c r="AT17" s="2">
        <f t="shared" si="44"/>
        <v>-0.24502784880210626</v>
      </c>
    </row>
    <row r="18" spans="1:46" ht="12.75">
      <c r="A18">
        <f t="shared" si="18"/>
        <v>6</v>
      </c>
      <c r="B18">
        <f t="shared" si="19"/>
        <v>30</v>
      </c>
      <c r="C18" s="6">
        <f t="shared" si="20"/>
        <v>1.2119474350286783</v>
      </c>
      <c r="D18" s="2">
        <f t="shared" si="21"/>
        <v>9.999999999999998</v>
      </c>
      <c r="E18" s="2">
        <f t="shared" si="22"/>
        <v>27.820508075688775</v>
      </c>
      <c r="F18" s="2">
        <f t="shared" si="0"/>
        <v>24.956242998606786</v>
      </c>
      <c r="G18" s="2">
        <f t="shared" si="1"/>
        <v>29.120107650719017</v>
      </c>
      <c r="H18" s="11">
        <f t="shared" si="2"/>
        <v>1.5743456625803063</v>
      </c>
      <c r="I18" s="2">
        <f t="shared" si="3"/>
        <v>3.2499999999999996</v>
      </c>
      <c r="J18" s="2">
        <f t="shared" si="4"/>
        <v>5.629165124598852</v>
      </c>
      <c r="K18" s="2">
        <f t="shared" si="5"/>
        <v>3.3646475863327696</v>
      </c>
      <c r="L18" s="2">
        <f t="shared" si="6"/>
        <v>9.192388155425117</v>
      </c>
      <c r="M18" s="2">
        <f t="shared" si="7"/>
        <v>15.37273083678417</v>
      </c>
      <c r="N18" s="2">
        <f t="shared" si="8"/>
        <v>17.592612085759182</v>
      </c>
      <c r="P18" s="2">
        <f t="shared" si="23"/>
        <v>-8.87916512459885</v>
      </c>
      <c r="Q18" s="2">
        <f t="shared" si="24"/>
        <v>-2.3791651245988508</v>
      </c>
      <c r="R18" s="2">
        <f t="shared" si="25"/>
        <v>9.192388155425117</v>
      </c>
      <c r="S18" s="7">
        <f t="shared" si="26"/>
        <v>42.25</v>
      </c>
      <c r="T18" s="2">
        <f t="shared" si="9"/>
        <v>771.0625</v>
      </c>
      <c r="U18" s="2">
        <f t="shared" si="27"/>
        <v>27.768012172281978</v>
      </c>
      <c r="V18" s="2">
        <f t="shared" si="10"/>
        <v>1.7282489792338591</v>
      </c>
      <c r="W18" s="2">
        <f t="shared" si="11"/>
        <v>5.221413167503327</v>
      </c>
      <c r="X18" s="2">
        <f t="shared" si="28"/>
        <v>-4.10741410383271</v>
      </c>
      <c r="Y18" s="2">
        <f t="shared" si="12"/>
        <v>3.6577519570955244</v>
      </c>
      <c r="Z18" s="2">
        <f t="shared" si="13"/>
        <v>6.041522986797287</v>
      </c>
      <c r="AA18" s="2">
        <f t="shared" si="14"/>
        <v>66.62832012710716</v>
      </c>
      <c r="AB18" s="2">
        <f t="shared" si="29"/>
        <v>0.903805922287441</v>
      </c>
      <c r="AC18" s="2">
        <f t="shared" si="30"/>
        <v>17.68523283931109</v>
      </c>
      <c r="AD18" s="11">
        <f t="shared" si="31"/>
        <v>-1.3374501150392746</v>
      </c>
      <c r="AE18" s="2">
        <f t="shared" si="32"/>
        <v>2.379165124598851</v>
      </c>
      <c r="AF18" s="12">
        <f t="shared" si="33"/>
        <v>-2.3791651245988508</v>
      </c>
      <c r="AG18" s="2">
        <f t="shared" si="34"/>
        <v>3.3646475863327696</v>
      </c>
      <c r="AH18" s="12">
        <f t="shared" si="35"/>
        <v>-21.125</v>
      </c>
      <c r="AI18" s="2">
        <f t="shared" si="15"/>
        <v>-103.80981024849825</v>
      </c>
      <c r="AJ18" s="2">
        <f t="shared" si="36"/>
        <v>0</v>
      </c>
      <c r="AK18" s="2">
        <f t="shared" si="37"/>
        <v>0</v>
      </c>
      <c r="AL18" s="2">
        <f t="shared" si="38"/>
        <v>0</v>
      </c>
      <c r="AM18" s="2">
        <f t="shared" si="39"/>
        <v>0</v>
      </c>
      <c r="AN18" s="2">
        <f t="shared" si="40"/>
        <v>0</v>
      </c>
      <c r="AO18" s="2">
        <f t="shared" si="41"/>
        <v>0</v>
      </c>
      <c r="AP18" s="2">
        <f t="shared" si="16"/>
        <v>0</v>
      </c>
      <c r="AQ18" s="2">
        <f t="shared" si="42"/>
        <v>0</v>
      </c>
      <c r="AR18" s="2">
        <f t="shared" si="43"/>
        <v>15.37273083678417</v>
      </c>
      <c r="AS18" s="11">
        <f t="shared" si="17"/>
        <v>0.9750518874876466</v>
      </c>
      <c r="AT18" s="2">
        <f t="shared" si="44"/>
        <v>-0.362398227551628</v>
      </c>
    </row>
    <row r="19" spans="1:46" ht="12.75">
      <c r="A19">
        <f t="shared" si="18"/>
        <v>7</v>
      </c>
      <c r="B19">
        <f t="shared" si="19"/>
        <v>35</v>
      </c>
      <c r="C19" s="6">
        <f t="shared" si="20"/>
        <v>1.6307781968714057</v>
      </c>
      <c r="D19" s="2">
        <f t="shared" si="21"/>
        <v>11.471528727020921</v>
      </c>
      <c r="E19" s="2">
        <f t="shared" si="22"/>
        <v>26.883040885779835</v>
      </c>
      <c r="F19" s="2">
        <f t="shared" si="0"/>
        <v>24.34448261869304</v>
      </c>
      <c r="G19" s="2">
        <f t="shared" si="1"/>
        <v>29.171121879622106</v>
      </c>
      <c r="H19" s="11">
        <f t="shared" si="2"/>
        <v>2.1350918135909644</v>
      </c>
      <c r="I19" s="2">
        <f t="shared" si="3"/>
        <v>3.7282468362817993</v>
      </c>
      <c r="J19" s="2">
        <f t="shared" si="4"/>
        <v>5.324488287878447</v>
      </c>
      <c r="K19" s="2">
        <f t="shared" si="5"/>
        <v>2.813714981195337</v>
      </c>
      <c r="L19" s="2">
        <f t="shared" si="6"/>
        <v>9.584605378531613</v>
      </c>
      <c r="M19" s="2">
        <f t="shared" si="7"/>
        <v>15.261618262668053</v>
      </c>
      <c r="N19" s="2">
        <f t="shared" si="8"/>
        <v>17.800692690515646</v>
      </c>
      <c r="P19" s="2">
        <f t="shared" si="23"/>
        <v>-9.35741196088065</v>
      </c>
      <c r="Q19" s="2">
        <f t="shared" si="24"/>
        <v>-2.074488287878446</v>
      </c>
      <c r="R19" s="2">
        <f t="shared" si="25"/>
        <v>9.584605378531613</v>
      </c>
      <c r="S19" s="7">
        <f t="shared" si="26"/>
        <v>42.08922599437625</v>
      </c>
      <c r="T19" s="2">
        <f t="shared" si="9"/>
        <v>1007.4030281251805</v>
      </c>
      <c r="U19" s="2">
        <f t="shared" si="27"/>
        <v>31.739612917065962</v>
      </c>
      <c r="V19" s="2">
        <f t="shared" si="10"/>
        <v>2.282564661690755</v>
      </c>
      <c r="W19" s="2">
        <f t="shared" si="11"/>
        <v>5.003988265893573</v>
      </c>
      <c r="X19" s="2">
        <f t="shared" si="28"/>
        <v>-4.183482950007806</v>
      </c>
      <c r="Y19" s="2">
        <f t="shared" si="12"/>
        <v>3.5705000219848726</v>
      </c>
      <c r="Z19" s="2">
        <f t="shared" si="13"/>
        <v>6.623040107245095</v>
      </c>
      <c r="AA19" s="2">
        <f t="shared" si="14"/>
        <v>74.04011371805795</v>
      </c>
      <c r="AB19" s="2">
        <f t="shared" si="29"/>
        <v>1.1086636504982086</v>
      </c>
      <c r="AC19" s="2">
        <f t="shared" si="30"/>
        <v>17.93826080259514</v>
      </c>
      <c r="AD19" s="11">
        <f t="shared" si="31"/>
        <v>-1.590478078323322</v>
      </c>
      <c r="AE19" s="2">
        <f t="shared" si="32"/>
        <v>1.9009182883170515</v>
      </c>
      <c r="AF19" s="12">
        <f t="shared" si="33"/>
        <v>-2.074488287878446</v>
      </c>
      <c r="AG19" s="2">
        <f t="shared" si="34"/>
        <v>2.813714981195337</v>
      </c>
      <c r="AH19" s="12">
        <f t="shared" si="35"/>
        <v>-17.85562155854455</v>
      </c>
      <c r="AI19" s="2">
        <f t="shared" si="15"/>
        <v>-79.33421338101783</v>
      </c>
      <c r="AJ19" s="2">
        <f t="shared" si="36"/>
        <v>0</v>
      </c>
      <c r="AK19" s="2">
        <f t="shared" si="37"/>
        <v>0</v>
      </c>
      <c r="AL19" s="2">
        <f t="shared" si="38"/>
        <v>0</v>
      </c>
      <c r="AM19" s="2">
        <f t="shared" si="39"/>
        <v>0</v>
      </c>
      <c r="AN19" s="2">
        <f t="shared" si="40"/>
        <v>0</v>
      </c>
      <c r="AO19" s="2">
        <f t="shared" si="41"/>
        <v>0</v>
      </c>
      <c r="AP19" s="2">
        <f t="shared" si="16"/>
        <v>0</v>
      </c>
      <c r="AQ19" s="2">
        <f t="shared" si="42"/>
        <v>0</v>
      </c>
      <c r="AR19" s="2">
        <f t="shared" si="43"/>
        <v>15.261618262668053</v>
      </c>
      <c r="AS19" s="11">
        <f t="shared" si="17"/>
        <v>1.0861644616037633</v>
      </c>
      <c r="AT19" s="2">
        <f t="shared" si="44"/>
        <v>-0.5043136167195588</v>
      </c>
    </row>
    <row r="20" spans="1:46" ht="12.75">
      <c r="A20">
        <f t="shared" si="18"/>
        <v>8</v>
      </c>
      <c r="B20">
        <f t="shared" si="19"/>
        <v>40</v>
      </c>
      <c r="C20" s="6">
        <f t="shared" si="20"/>
        <v>2.105665760959919</v>
      </c>
      <c r="D20" s="2">
        <f t="shared" si="21"/>
        <v>12.855752193730785</v>
      </c>
      <c r="E20" s="2">
        <f t="shared" si="22"/>
        <v>25.82088886237956</v>
      </c>
      <c r="F20" s="2">
        <f t="shared" si="0"/>
        <v>23.699548196234346</v>
      </c>
      <c r="G20" s="2">
        <f t="shared" si="1"/>
        <v>29.174255642661606</v>
      </c>
      <c r="H20" s="11">
        <f t="shared" si="2"/>
        <v>2.7768924730101574</v>
      </c>
      <c r="I20" s="2">
        <f t="shared" si="3"/>
        <v>4.178119462962505</v>
      </c>
      <c r="J20" s="2">
        <f t="shared" si="4"/>
        <v>4.979288880273357</v>
      </c>
      <c r="K20" s="2">
        <f t="shared" si="5"/>
        <v>2.2574263096700933</v>
      </c>
      <c r="L20" s="2">
        <f t="shared" si="6"/>
        <v>9.958577760546712</v>
      </c>
      <c r="M20" s="2">
        <f t="shared" si="7"/>
        <v>15.168914712120664</v>
      </c>
      <c r="N20" s="2">
        <f t="shared" si="8"/>
        <v>18.004812440368703</v>
      </c>
      <c r="P20" s="2">
        <f t="shared" si="23"/>
        <v>-9.807284587561355</v>
      </c>
      <c r="Q20" s="2">
        <f t="shared" si="24"/>
        <v>-1.729288880273356</v>
      </c>
      <c r="R20" s="2">
        <f t="shared" si="25"/>
        <v>9.958577760546712</v>
      </c>
      <c r="S20" s="7">
        <f t="shared" si="26"/>
        <v>41.60812756476579</v>
      </c>
      <c r="T20" s="2">
        <f t="shared" si="9"/>
        <v>1268.7551686930585</v>
      </c>
      <c r="U20" s="2">
        <f t="shared" si="27"/>
        <v>35.61958967609058</v>
      </c>
      <c r="V20" s="2">
        <f t="shared" si="10"/>
        <v>2.7969126931679207</v>
      </c>
      <c r="W20" s="2">
        <f t="shared" si="11"/>
        <v>4.735744860821387</v>
      </c>
      <c r="X20" s="2">
        <f t="shared" si="28"/>
        <v>-4.247958354804266</v>
      </c>
      <c r="Y20" s="2">
        <f t="shared" si="12"/>
        <v>3.4935440194519725</v>
      </c>
      <c r="Z20" s="2">
        <f t="shared" si="13"/>
        <v>7.153549539414374</v>
      </c>
      <c r="AA20" s="2">
        <f t="shared" si="14"/>
        <v>81.13187077809779</v>
      </c>
      <c r="AB20" s="2">
        <f t="shared" si="29"/>
        <v>1.321880537037494</v>
      </c>
      <c r="AC20" s="2">
        <f t="shared" si="30"/>
        <v>18.197877448473207</v>
      </c>
      <c r="AD20" s="11">
        <f t="shared" si="31"/>
        <v>-1.8500947242013908</v>
      </c>
      <c r="AE20" s="2">
        <f t="shared" si="32"/>
        <v>1.4510456616363454</v>
      </c>
      <c r="AF20" s="12">
        <f t="shared" si="33"/>
        <v>-1.729288880273356</v>
      </c>
      <c r="AG20" s="2">
        <f t="shared" si="34"/>
        <v>2.2574263096700933</v>
      </c>
      <c r="AH20" s="12">
        <f t="shared" si="35"/>
        <v>-14.450351055509499</v>
      </c>
      <c r="AI20" s="2">
        <f t="shared" si="15"/>
        <v>-54.65944593384472</v>
      </c>
      <c r="AJ20" s="2">
        <f t="shared" si="36"/>
        <v>0</v>
      </c>
      <c r="AK20" s="2">
        <f t="shared" si="37"/>
        <v>0</v>
      </c>
      <c r="AL20" s="2">
        <f t="shared" si="38"/>
        <v>0</v>
      </c>
      <c r="AM20" s="2">
        <f t="shared" si="39"/>
        <v>0</v>
      </c>
      <c r="AN20" s="2">
        <f t="shared" si="40"/>
        <v>0</v>
      </c>
      <c r="AO20" s="2">
        <f t="shared" si="41"/>
        <v>0</v>
      </c>
      <c r="AP20" s="2">
        <f t="shared" si="16"/>
        <v>0</v>
      </c>
      <c r="AQ20" s="2">
        <f t="shared" si="42"/>
        <v>0</v>
      </c>
      <c r="AR20" s="2">
        <f t="shared" si="43"/>
        <v>15.168914712120664</v>
      </c>
      <c r="AS20" s="11">
        <f t="shared" si="17"/>
        <v>1.1788680121511526</v>
      </c>
      <c r="AT20" s="2">
        <f t="shared" si="44"/>
        <v>-0.6712267120502382</v>
      </c>
    </row>
    <row r="21" spans="1:46" ht="12.75">
      <c r="A21">
        <f t="shared" si="18"/>
        <v>9</v>
      </c>
      <c r="B21">
        <f t="shared" si="19"/>
        <v>45</v>
      </c>
      <c r="C21" s="6">
        <f t="shared" si="20"/>
        <v>2.6339962963026498</v>
      </c>
      <c r="D21" s="2">
        <f t="shared" si="21"/>
        <v>14.14213562373095</v>
      </c>
      <c r="E21" s="2">
        <f t="shared" si="22"/>
        <v>24.64213562373095</v>
      </c>
      <c r="F21" s="2">
        <f t="shared" si="0"/>
        <v>23.023773219504925</v>
      </c>
      <c r="G21" s="2">
        <f t="shared" si="1"/>
        <v>29.129500507646974</v>
      </c>
      <c r="H21" s="11">
        <f t="shared" si="2"/>
        <v>3.4974225847542115</v>
      </c>
      <c r="I21" s="2">
        <f t="shared" si="3"/>
        <v>4.596194077712559</v>
      </c>
      <c r="J21" s="2">
        <f t="shared" si="4"/>
        <v>4.59619407771256</v>
      </c>
      <c r="K21" s="2">
        <f t="shared" si="5"/>
        <v>1.6968404988606705</v>
      </c>
      <c r="L21" s="2">
        <f t="shared" si="6"/>
        <v>10.313593423786056</v>
      </c>
      <c r="M21" s="2">
        <f t="shared" si="7"/>
        <v>15.095670494501851</v>
      </c>
      <c r="N21" s="2">
        <f t="shared" si="8"/>
        <v>18.203576827402987</v>
      </c>
      <c r="P21" s="2">
        <f t="shared" si="23"/>
        <v>-10.22535920231141</v>
      </c>
      <c r="Q21" s="2">
        <f t="shared" si="24"/>
        <v>-1.3461940777125587</v>
      </c>
      <c r="R21" s="2">
        <f t="shared" si="25"/>
        <v>10.313593423786056</v>
      </c>
      <c r="S21" s="7">
        <f t="shared" si="26"/>
        <v>40.810366160713144</v>
      </c>
      <c r="T21" s="2">
        <f t="shared" si="9"/>
        <v>1552.2128454911997</v>
      </c>
      <c r="U21" s="2">
        <f t="shared" si="27"/>
        <v>39.3981325127372</v>
      </c>
      <c r="V21" s="2">
        <f t="shared" si="10"/>
        <v>3.2708536145717266</v>
      </c>
      <c r="W21" s="2">
        <f t="shared" si="11"/>
        <v>4.421709695586434</v>
      </c>
      <c r="X21" s="2">
        <f t="shared" si="28"/>
        <v>-4.30382466145802</v>
      </c>
      <c r="Y21" s="2">
        <f t="shared" si="12"/>
        <v>3.4244843821261277</v>
      </c>
      <c r="Z21" s="2">
        <f t="shared" si="13"/>
        <v>7.640039876280946</v>
      </c>
      <c r="AA21" s="2">
        <f t="shared" si="14"/>
        <v>87.98259114223549</v>
      </c>
      <c r="AB21" s="2">
        <f t="shared" si="29"/>
        <v>1.543050711443315</v>
      </c>
      <c r="AC21" s="2">
        <f t="shared" si="30"/>
        <v>18.463321242493343</v>
      </c>
      <c r="AD21" s="11">
        <f t="shared" si="31"/>
        <v>-2.115538518221527</v>
      </c>
      <c r="AE21" s="2">
        <f t="shared" si="32"/>
        <v>1.032971046886292</v>
      </c>
      <c r="AF21" s="12">
        <f t="shared" si="33"/>
        <v>-1.3461940777125587</v>
      </c>
      <c r="AG21" s="2">
        <f t="shared" si="34"/>
        <v>1.6968404988606705</v>
      </c>
      <c r="AH21" s="12">
        <f t="shared" si="35"/>
        <v>-10.935104655581501</v>
      </c>
      <c r="AI21" s="2">
        <f t="shared" si="15"/>
        <v>-32.47866655166493</v>
      </c>
      <c r="AJ21" s="2">
        <f t="shared" si="36"/>
        <v>0</v>
      </c>
      <c r="AK21" s="2">
        <f t="shared" si="37"/>
        <v>0</v>
      </c>
      <c r="AL21" s="2">
        <f t="shared" si="38"/>
        <v>0</v>
      </c>
      <c r="AM21" s="2">
        <f t="shared" si="39"/>
        <v>0</v>
      </c>
      <c r="AN21" s="2">
        <f t="shared" si="40"/>
        <v>0</v>
      </c>
      <c r="AO21" s="2">
        <f t="shared" si="41"/>
        <v>0</v>
      </c>
      <c r="AP21" s="2">
        <f t="shared" si="16"/>
        <v>0</v>
      </c>
      <c r="AQ21" s="2">
        <f t="shared" si="42"/>
        <v>0</v>
      </c>
      <c r="AR21" s="2">
        <f t="shared" si="43"/>
        <v>15.095670494501851</v>
      </c>
      <c r="AS21" s="11">
        <f t="shared" si="17"/>
        <v>1.2521122297699652</v>
      </c>
      <c r="AT21" s="2">
        <f t="shared" si="44"/>
        <v>-0.8634262884515618</v>
      </c>
    </row>
    <row r="22" spans="1:46" ht="12.75">
      <c r="A22">
        <f t="shared" si="18"/>
        <v>10</v>
      </c>
      <c r="B22">
        <f t="shared" si="19"/>
        <v>50</v>
      </c>
      <c r="C22" s="6">
        <f t="shared" si="20"/>
        <v>3.2129643372862304</v>
      </c>
      <c r="D22" s="2">
        <f t="shared" si="21"/>
        <v>15.32088886237956</v>
      </c>
      <c r="E22" s="2">
        <f t="shared" si="22"/>
        <v>23.355752193730787</v>
      </c>
      <c r="F22" s="2">
        <f t="shared" si="0"/>
        <v>22.319739700210942</v>
      </c>
      <c r="G22" s="2">
        <f t="shared" si="1"/>
        <v>29.03697700059392</v>
      </c>
      <c r="H22" s="11">
        <f t="shared" si="2"/>
        <v>4.29397961110125</v>
      </c>
      <c r="I22" s="2">
        <f t="shared" si="3"/>
        <v>4.979288880273357</v>
      </c>
      <c r="J22" s="2">
        <f t="shared" si="4"/>
        <v>4.178119462962506</v>
      </c>
      <c r="K22" s="2">
        <f t="shared" si="5"/>
        <v>1.133024655719556</v>
      </c>
      <c r="L22" s="2">
        <f t="shared" si="6"/>
        <v>10.648976575756892</v>
      </c>
      <c r="M22" s="2">
        <f t="shared" si="7"/>
        <v>15.04273063211824</v>
      </c>
      <c r="N22" s="2">
        <f t="shared" si="8"/>
        <v>18.39567074371084</v>
      </c>
      <c r="P22" s="2">
        <f t="shared" si="23"/>
        <v>-10.608454004872208</v>
      </c>
      <c r="Q22" s="2">
        <f t="shared" si="24"/>
        <v>-0.9281194629625054</v>
      </c>
      <c r="R22" s="2">
        <f t="shared" si="25"/>
        <v>10.648976575756892</v>
      </c>
      <c r="S22" s="7">
        <f t="shared" si="26"/>
        <v>39.702013228204635</v>
      </c>
      <c r="T22" s="2">
        <f t="shared" si="9"/>
        <v>1854.1213844857887</v>
      </c>
      <c r="U22" s="2">
        <f t="shared" si="27"/>
        <v>43.0595098031293</v>
      </c>
      <c r="V22" s="2">
        <f t="shared" si="10"/>
        <v>3.7032100349063355</v>
      </c>
      <c r="W22" s="2">
        <f t="shared" si="11"/>
        <v>4.066477030227642</v>
      </c>
      <c r="X22" s="2">
        <f t="shared" si="28"/>
        <v>-4.353086279231829</v>
      </c>
      <c r="Y22" s="2">
        <f t="shared" si="12"/>
        <v>3.3616424327348655</v>
      </c>
      <c r="Z22" s="2">
        <f t="shared" si="13"/>
        <v>8.08707005725924</v>
      </c>
      <c r="AA22" s="2">
        <f t="shared" si="14"/>
        <v>94.6462401082094</v>
      </c>
      <c r="AB22" s="2">
        <f t="shared" si="29"/>
        <v>1.7717531637181991</v>
      </c>
      <c r="AC22" s="2">
        <f t="shared" si="30"/>
        <v>18.733850090240413</v>
      </c>
      <c r="AD22" s="11">
        <f t="shared" si="31"/>
        <v>-2.3860673659685965</v>
      </c>
      <c r="AE22" s="2">
        <f t="shared" si="32"/>
        <v>0.649876244325494</v>
      </c>
      <c r="AF22" s="12">
        <f t="shared" si="33"/>
        <v>-0.9281194629625054</v>
      </c>
      <c r="AG22" s="2">
        <f t="shared" si="34"/>
        <v>1.133024655719556</v>
      </c>
      <c r="AH22" s="12">
        <f t="shared" si="35"/>
        <v>-7.336635506427804</v>
      </c>
      <c r="AI22" s="2">
        <f t="shared" si="15"/>
        <v>-14.992938222507505</v>
      </c>
      <c r="AJ22" s="2">
        <f t="shared" si="36"/>
        <v>0</v>
      </c>
      <c r="AK22" s="2">
        <f t="shared" si="37"/>
        <v>0</v>
      </c>
      <c r="AL22" s="2">
        <f t="shared" si="38"/>
        <v>0</v>
      </c>
      <c r="AM22" s="2">
        <f t="shared" si="39"/>
        <v>0</v>
      </c>
      <c r="AN22" s="2">
        <f t="shared" si="40"/>
        <v>0</v>
      </c>
      <c r="AO22" s="2">
        <f t="shared" si="41"/>
        <v>0</v>
      </c>
      <c r="AP22" s="2">
        <f t="shared" si="16"/>
        <v>0</v>
      </c>
      <c r="AQ22" s="2">
        <f t="shared" si="42"/>
        <v>0</v>
      </c>
      <c r="AR22" s="2">
        <f t="shared" si="43"/>
        <v>15.04273063211824</v>
      </c>
      <c r="AS22" s="11">
        <f t="shared" si="17"/>
        <v>1.305052092153577</v>
      </c>
      <c r="AT22" s="2">
        <f t="shared" si="44"/>
        <v>-1.0810152738150194</v>
      </c>
    </row>
    <row r="23" spans="1:46" ht="12.75">
      <c r="A23">
        <f t="shared" si="18"/>
        <v>11</v>
      </c>
      <c r="B23">
        <f t="shared" si="19"/>
        <v>55</v>
      </c>
      <c r="C23" s="6">
        <f t="shared" si="20"/>
        <v>3.8395593929697007</v>
      </c>
      <c r="D23" s="2">
        <f t="shared" si="21"/>
        <v>16.383040885779835</v>
      </c>
      <c r="E23" s="2">
        <f t="shared" si="22"/>
        <v>21.971528727020925</v>
      </c>
      <c r="F23" s="2">
        <f t="shared" si="0"/>
        <v>21.590309904297012</v>
      </c>
      <c r="G23" s="2">
        <f t="shared" si="1"/>
        <v>28.896934981413185</v>
      </c>
      <c r="H23" s="11">
        <f t="shared" si="2"/>
        <v>5.163451426195916</v>
      </c>
      <c r="I23" s="2">
        <f t="shared" si="3"/>
        <v>5.324488287878447</v>
      </c>
      <c r="J23" s="2">
        <f t="shared" si="4"/>
        <v>3.7282468362818</v>
      </c>
      <c r="K23" s="2">
        <f t="shared" si="5"/>
        <v>0.5670520357493674</v>
      </c>
      <c r="L23" s="2">
        <f t="shared" si="6"/>
        <v>10.964088795567514</v>
      </c>
      <c r="M23" s="2">
        <f t="shared" si="7"/>
        <v>15.01071444040048</v>
      </c>
      <c r="N23" s="2">
        <f t="shared" si="8"/>
        <v>18.579861224376494</v>
      </c>
      <c r="P23" s="2">
        <f t="shared" si="23"/>
        <v>-10.953653412477298</v>
      </c>
      <c r="Q23" s="2">
        <f t="shared" si="24"/>
        <v>-0.4782468362817993</v>
      </c>
      <c r="R23" s="2">
        <f t="shared" si="25"/>
        <v>10.964088795567514</v>
      </c>
      <c r="S23" s="7">
        <f t="shared" si="26"/>
        <v>38.29150400229847</v>
      </c>
      <c r="T23" s="2">
        <f t="shared" si="9"/>
        <v>2170.150825533906</v>
      </c>
      <c r="U23" s="2">
        <f t="shared" si="27"/>
        <v>46.58487764858791</v>
      </c>
      <c r="V23" s="2">
        <f t="shared" si="10"/>
        <v>4.092477547216916</v>
      </c>
      <c r="W23" s="2">
        <f t="shared" si="11"/>
        <v>3.674456085671103</v>
      </c>
      <c r="X23" s="2">
        <f t="shared" si="28"/>
        <v>-4.397154383937321</v>
      </c>
      <c r="Y23" s="2">
        <f t="shared" si="12"/>
        <v>3.303790750610697</v>
      </c>
      <c r="Z23" s="2">
        <f t="shared" si="13"/>
        <v>8.497719877537094</v>
      </c>
      <c r="AA23" s="2">
        <f t="shared" si="14"/>
        <v>101.16144822945176</v>
      </c>
      <c r="AB23" s="2">
        <f t="shared" si="29"/>
        <v>2.007552545745643</v>
      </c>
      <c r="AC23" s="2">
        <f t="shared" si="30"/>
        <v>19.008743041369367</v>
      </c>
      <c r="AD23" s="11">
        <f t="shared" si="31"/>
        <v>-2.660960317097551</v>
      </c>
      <c r="AE23" s="2">
        <f t="shared" si="32"/>
        <v>0.3046768367204038</v>
      </c>
      <c r="AF23" s="12">
        <f t="shared" si="33"/>
        <v>-0.4782468362817993</v>
      </c>
      <c r="AG23" s="2">
        <f t="shared" si="34"/>
        <v>0.5670520357493674</v>
      </c>
      <c r="AH23" s="12">
        <f t="shared" si="35"/>
        <v>-3.6823301310885554</v>
      </c>
      <c r="AI23" s="2">
        <f t="shared" si="15"/>
        <v>-3.832727854085727</v>
      </c>
      <c r="AJ23" s="2">
        <f t="shared" si="36"/>
        <v>0</v>
      </c>
      <c r="AK23" s="2">
        <f t="shared" si="37"/>
        <v>0</v>
      </c>
      <c r="AL23" s="2">
        <f t="shared" si="38"/>
        <v>0</v>
      </c>
      <c r="AM23" s="2">
        <f t="shared" si="39"/>
        <v>0</v>
      </c>
      <c r="AN23" s="2">
        <f t="shared" si="40"/>
        <v>0</v>
      </c>
      <c r="AO23" s="2">
        <f t="shared" si="41"/>
        <v>0</v>
      </c>
      <c r="AP23" s="2">
        <f t="shared" si="16"/>
        <v>0</v>
      </c>
      <c r="AQ23" s="2">
        <f t="shared" si="42"/>
        <v>0</v>
      </c>
      <c r="AR23" s="2">
        <f t="shared" si="43"/>
        <v>15.01071444040048</v>
      </c>
      <c r="AS23" s="11">
        <f t="shared" si="17"/>
        <v>1.3370682838713357</v>
      </c>
      <c r="AT23" s="2">
        <f t="shared" si="44"/>
        <v>-1.3238920332262154</v>
      </c>
    </row>
    <row r="24" spans="1:46" ht="12.75">
      <c r="A24">
        <f t="shared" si="18"/>
        <v>12</v>
      </c>
      <c r="B24">
        <f t="shared" si="19"/>
        <v>60</v>
      </c>
      <c r="C24" s="6">
        <f t="shared" si="20"/>
        <v>4.51053981437795</v>
      </c>
      <c r="D24" s="2">
        <f t="shared" si="21"/>
        <v>17.32050807568877</v>
      </c>
      <c r="E24" s="2">
        <f t="shared" si="22"/>
        <v>20.5</v>
      </c>
      <c r="F24" s="2">
        <f t="shared" si="0"/>
        <v>20.838665984174707</v>
      </c>
      <c r="G24" s="2">
        <f t="shared" si="1"/>
        <v>28.70975443991118</v>
      </c>
      <c r="H24" s="11">
        <f t="shared" si="2"/>
        <v>6.102275887820227</v>
      </c>
      <c r="I24" s="2">
        <f t="shared" si="3"/>
        <v>5.629165124598851</v>
      </c>
      <c r="J24" s="2">
        <f t="shared" si="4"/>
        <v>3.250000000000001</v>
      </c>
      <c r="K24" s="2">
        <f t="shared" si="5"/>
        <v>0</v>
      </c>
      <c r="L24" s="2">
        <f t="shared" si="6"/>
        <v>11.258330249197702</v>
      </c>
      <c r="M24" s="2">
        <f t="shared" si="7"/>
        <v>15</v>
      </c>
      <c r="N24" s="2">
        <f t="shared" si="8"/>
        <v>18.75499933351105</v>
      </c>
      <c r="P24" s="2">
        <f t="shared" si="23"/>
        <v>-11.258330249197702</v>
      </c>
      <c r="Q24" s="2">
        <f t="shared" si="24"/>
        <v>0</v>
      </c>
      <c r="R24" s="2">
        <f t="shared" si="25"/>
        <v>11.258330249197702</v>
      </c>
      <c r="S24" s="7">
        <f t="shared" si="26"/>
        <v>36.58957330989254</v>
      </c>
      <c r="T24" s="2">
        <f t="shared" si="9"/>
        <v>2495.390624999999</v>
      </c>
      <c r="U24" s="2">
        <f t="shared" si="27"/>
        <v>49.95388498405303</v>
      </c>
      <c r="V24" s="2">
        <f>IF(U24&gt;0,IF(Q24&lt;&gt;0,(S24*Q24+SIGN(Q24)*P24*U24)/R24^2,(S24*Q24+P24*U24)/R24^2),0)</f>
        <v>-4.437059837324711</v>
      </c>
      <c r="W24" s="2">
        <f t="shared" si="11"/>
        <v>3.2500000000000013</v>
      </c>
      <c r="X24" s="2">
        <f t="shared" si="28"/>
        <v>4.437059837324711</v>
      </c>
      <c r="Y24" s="2">
        <f t="shared" si="12"/>
        <v>3.2500000000000013</v>
      </c>
      <c r="Z24" s="2">
        <f t="shared" si="13"/>
        <v>8.874119674649423</v>
      </c>
      <c r="AA24" s="2">
        <f t="shared" si="14"/>
        <v>107.55690676032982</v>
      </c>
      <c r="AB24" s="2">
        <f t="shared" si="29"/>
        <v>2.25</v>
      </c>
      <c r="AC24" s="2">
        <f t="shared" si="30"/>
        <v>19.28730152198591</v>
      </c>
      <c r="AD24" s="11">
        <f t="shared" si="31"/>
        <v>-2.9395187977140935</v>
      </c>
      <c r="AE24" s="2">
        <f t="shared" si="32"/>
        <v>0</v>
      </c>
      <c r="AF24" s="12">
        <f t="shared" si="33"/>
        <v>0</v>
      </c>
      <c r="AG24" s="2">
        <f t="shared" si="34"/>
        <v>0</v>
      </c>
      <c r="AH24" s="12">
        <f t="shared" si="35"/>
        <v>0</v>
      </c>
      <c r="AI24" s="2">
        <f t="shared" si="15"/>
        <v>0</v>
      </c>
      <c r="AJ24" s="2">
        <f t="shared" si="36"/>
        <v>0</v>
      </c>
      <c r="AK24" s="2">
        <f t="shared" si="37"/>
        <v>0</v>
      </c>
      <c r="AL24" s="2">
        <f t="shared" si="38"/>
        <v>0</v>
      </c>
      <c r="AM24" s="2">
        <f t="shared" si="39"/>
        <v>0</v>
      </c>
      <c r="AN24" s="2">
        <f t="shared" si="40"/>
        <v>0</v>
      </c>
      <c r="AO24" s="2">
        <f t="shared" si="41"/>
        <v>0</v>
      </c>
      <c r="AP24" s="2">
        <f t="shared" si="16"/>
        <v>0</v>
      </c>
      <c r="AQ24" s="2">
        <f t="shared" si="42"/>
        <v>0</v>
      </c>
      <c r="AR24" s="2">
        <f t="shared" si="43"/>
        <v>15</v>
      </c>
      <c r="AS24" s="11">
        <f t="shared" si="17"/>
        <v>1.3477827242718163</v>
      </c>
      <c r="AT24" s="2">
        <f t="shared" si="44"/>
        <v>-1.5917360734422772</v>
      </c>
    </row>
    <row r="25" spans="1:46" ht="12.75">
      <c r="A25">
        <f t="shared" si="18"/>
        <v>13</v>
      </c>
      <c r="B25">
        <f t="shared" si="19"/>
        <v>65</v>
      </c>
      <c r="C25" s="6">
        <f t="shared" si="20"/>
        <v>5.222391022444096</v>
      </c>
      <c r="D25" s="2">
        <f t="shared" si="21"/>
        <v>18.126155740732997</v>
      </c>
      <c r="E25" s="2">
        <f t="shared" si="22"/>
        <v>18.95236523481399</v>
      </c>
      <c r="F25" s="2">
        <f t="shared" si="0"/>
        <v>20.06835938554121</v>
      </c>
      <c r="G25" s="2">
        <f t="shared" si="1"/>
        <v>28.47594675129109</v>
      </c>
      <c r="H25" s="11">
        <f t="shared" si="2"/>
        <v>7.1063901750738125</v>
      </c>
      <c r="I25" s="2">
        <f t="shared" si="3"/>
        <v>5.891000615738225</v>
      </c>
      <c r="J25" s="2">
        <f t="shared" si="4"/>
        <v>2.747018701314546</v>
      </c>
      <c r="K25" s="2">
        <f t="shared" si="5"/>
        <v>0.5670520357493692</v>
      </c>
      <c r="L25" s="2">
        <f t="shared" si="6"/>
        <v>11.531140831316883</v>
      </c>
      <c r="M25" s="2">
        <f t="shared" si="7"/>
        <v>15.01071444040048</v>
      </c>
      <c r="N25" s="2">
        <f t="shared" si="8"/>
        <v>18.920021376088965</v>
      </c>
      <c r="P25" s="2">
        <f t="shared" si="23"/>
        <v>-11.520165740337076</v>
      </c>
      <c r="Q25" s="2">
        <f t="shared" si="24"/>
        <v>0.5029812986854547</v>
      </c>
      <c r="R25" s="2">
        <f t="shared" si="25"/>
        <v>11.531140831316883</v>
      </c>
      <c r="S25" s="7">
        <f t="shared" si="26"/>
        <v>34.609173871209904</v>
      </c>
      <c r="T25" s="2">
        <f t="shared" si="9"/>
        <v>2824.46315232018</v>
      </c>
      <c r="U25" s="2">
        <f t="shared" si="27"/>
        <v>53.14567858556498</v>
      </c>
      <c r="V25" s="2">
        <f aca="true" t="shared" si="45" ref="V25:V30">IF(U25&gt;0,IF(Q25&lt;&gt;0,(S25*Q25+SIGN(Q25)*P25*U25)/R25^2,(S25*Q25+P25*U25)/R25^2),0)</f>
        <v>-4.473578587652715</v>
      </c>
      <c r="W25" s="2">
        <f t="shared" si="11"/>
        <v>3.1995460021845497</v>
      </c>
      <c r="X25" s="2">
        <f t="shared" si="28"/>
        <v>4.735414078792089</v>
      </c>
      <c r="Y25" s="2">
        <f t="shared" si="12"/>
        <v>2.7974726991299956</v>
      </c>
      <c r="Z25" s="2">
        <f t="shared" si="13"/>
        <v>9.217765937127249</v>
      </c>
      <c r="AA25" s="2">
        <f t="shared" si="14"/>
        <v>113.85457819681801</v>
      </c>
      <c r="AB25" s="2">
        <f t="shared" si="29"/>
        <v>2.4986340139722794</v>
      </c>
      <c r="AC25" s="2">
        <f t="shared" si="30"/>
        <v>19.568850160772868</v>
      </c>
      <c r="AD25" s="11">
        <f t="shared" si="31"/>
        <v>-3.221067436501052</v>
      </c>
      <c r="AE25" s="2">
        <f t="shared" si="32"/>
        <v>-0.2618354911393741</v>
      </c>
      <c r="AF25" s="12">
        <f t="shared" si="33"/>
        <v>0.5029812986854547</v>
      </c>
      <c r="AG25" s="2">
        <f t="shared" si="34"/>
        <v>0.5670520357493692</v>
      </c>
      <c r="AH25" s="12">
        <f t="shared" si="35"/>
        <v>3.682330131088566</v>
      </c>
      <c r="AI25" s="2">
        <f t="shared" si="15"/>
        <v>-3.832727854085743</v>
      </c>
      <c r="AJ25" s="2">
        <f t="shared" si="36"/>
        <v>0</v>
      </c>
      <c r="AK25" s="2">
        <f t="shared" si="37"/>
        <v>0</v>
      </c>
      <c r="AL25" s="2">
        <f t="shared" si="38"/>
        <v>0</v>
      </c>
      <c r="AM25" s="2">
        <f t="shared" si="39"/>
        <v>0</v>
      </c>
      <c r="AN25" s="2">
        <f t="shared" si="40"/>
        <v>0</v>
      </c>
      <c r="AO25" s="2">
        <f t="shared" si="41"/>
        <v>0</v>
      </c>
      <c r="AP25" s="2">
        <f t="shared" si="16"/>
        <v>0</v>
      </c>
      <c r="AQ25" s="2">
        <f t="shared" si="42"/>
        <v>0</v>
      </c>
      <c r="AR25" s="2">
        <f t="shared" si="43"/>
        <v>15.01071444040048</v>
      </c>
      <c r="AS25" s="11">
        <f t="shared" si="17"/>
        <v>1.3370682838713357</v>
      </c>
      <c r="AT25" s="2">
        <f t="shared" si="44"/>
        <v>-1.8839991526297162</v>
      </c>
    </row>
    <row r="26" spans="1:46" ht="12.75">
      <c r="A26">
        <f t="shared" si="18"/>
        <v>14</v>
      </c>
      <c r="B26">
        <f t="shared" si="19"/>
        <v>70</v>
      </c>
      <c r="C26" s="6">
        <f t="shared" si="20"/>
        <v>5.971265178498015</v>
      </c>
      <c r="D26" s="2">
        <f t="shared" si="21"/>
        <v>18.793852415718167</v>
      </c>
      <c r="E26" s="2">
        <f t="shared" si="22"/>
        <v>17.340402866513376</v>
      </c>
      <c r="F26" s="2">
        <f t="shared" si="0"/>
        <v>19.283372226185097</v>
      </c>
      <c r="G26" s="2">
        <f t="shared" si="1"/>
        <v>28.196156452879908</v>
      </c>
      <c r="H26" s="11">
        <f t="shared" si="2"/>
        <v>8.171167632841101</v>
      </c>
      <c r="I26" s="2">
        <f t="shared" si="3"/>
        <v>6.108002035108404</v>
      </c>
      <c r="J26" s="2">
        <f t="shared" si="4"/>
        <v>2.2231309316168475</v>
      </c>
      <c r="K26" s="2">
        <f t="shared" si="5"/>
        <v>1.1330246557195565</v>
      </c>
      <c r="L26" s="2">
        <f t="shared" si="6"/>
        <v>11.78200123147645</v>
      </c>
      <c r="M26" s="2">
        <f t="shared" si="7"/>
        <v>15.04273063211824</v>
      </c>
      <c r="N26" s="2">
        <f t="shared" si="8"/>
        <v>19.073949591485047</v>
      </c>
      <c r="P26" s="2">
        <f t="shared" si="23"/>
        <v>-11.737167159707255</v>
      </c>
      <c r="Q26" s="2">
        <f t="shared" si="24"/>
        <v>1.0268690683831534</v>
      </c>
      <c r="R26" s="2">
        <f t="shared" si="25"/>
        <v>11.78200123147645</v>
      </c>
      <c r="S26" s="7">
        <f t="shared" si="26"/>
        <v>32.365377721776824</v>
      </c>
      <c r="T26" s="2">
        <f t="shared" si="9"/>
        <v>3151.6528037367184</v>
      </c>
      <c r="U26" s="2">
        <f t="shared" si="27"/>
        <v>56.13958321662816</v>
      </c>
      <c r="V26" s="2">
        <f t="shared" si="45"/>
        <v>-4.507309545763859</v>
      </c>
      <c r="W26" s="2">
        <f t="shared" si="11"/>
        <v>3.1518503547386243</v>
      </c>
      <c r="X26" s="2">
        <f t="shared" si="28"/>
        <v>4.986146456273412</v>
      </c>
      <c r="Y26" s="2">
        <f t="shared" si="12"/>
        <v>2.3212805768782214</v>
      </c>
      <c r="Z26" s="2">
        <f t="shared" si="13"/>
        <v>9.529719461689968</v>
      </c>
      <c r="AA26" s="2">
        <f t="shared" si="14"/>
        <v>120.07171109840479</v>
      </c>
      <c r="AB26" s="2">
        <f t="shared" si="29"/>
        <v>2.752981298685452</v>
      </c>
      <c r="AC26" s="2">
        <f t="shared" si="30"/>
        <v>19.85273727076848</v>
      </c>
      <c r="AD26" s="11">
        <f t="shared" si="31"/>
        <v>-3.5049545464966627</v>
      </c>
      <c r="AE26" s="2">
        <f t="shared" si="32"/>
        <v>-0.47883691050955335</v>
      </c>
      <c r="AF26" s="12">
        <f t="shared" si="33"/>
        <v>1.0268690683831534</v>
      </c>
      <c r="AG26" s="2">
        <f t="shared" si="34"/>
        <v>1.1330246557195565</v>
      </c>
      <c r="AH26" s="12">
        <f t="shared" si="35"/>
        <v>7.3366355064278075</v>
      </c>
      <c r="AI26" s="2">
        <f t="shared" si="15"/>
        <v>-14.992938222507526</v>
      </c>
      <c r="AJ26" s="2">
        <f t="shared" si="36"/>
        <v>0</v>
      </c>
      <c r="AK26" s="2">
        <f t="shared" si="37"/>
        <v>0</v>
      </c>
      <c r="AL26" s="2">
        <f t="shared" si="38"/>
        <v>0</v>
      </c>
      <c r="AM26" s="2">
        <f t="shared" si="39"/>
        <v>0</v>
      </c>
      <c r="AN26" s="2">
        <f t="shared" si="40"/>
        <v>0</v>
      </c>
      <c r="AO26" s="2">
        <f t="shared" si="41"/>
        <v>0</v>
      </c>
      <c r="AP26" s="2">
        <f t="shared" si="16"/>
        <v>0</v>
      </c>
      <c r="AQ26" s="2">
        <f t="shared" si="42"/>
        <v>0</v>
      </c>
      <c r="AR26" s="2">
        <f t="shared" si="43"/>
        <v>15.04273063211824</v>
      </c>
      <c r="AS26" s="11">
        <f t="shared" si="17"/>
        <v>1.305052092153577</v>
      </c>
      <c r="AT26" s="2">
        <f t="shared" si="44"/>
        <v>-2.1999024543430856</v>
      </c>
    </row>
    <row r="27" spans="1:46" ht="12.75">
      <c r="A27">
        <f t="shared" si="18"/>
        <v>15</v>
      </c>
      <c r="B27">
        <f t="shared" si="19"/>
        <v>75</v>
      </c>
      <c r="C27" s="6">
        <f t="shared" si="20"/>
        <v>6.7528994925263195</v>
      </c>
      <c r="D27" s="2">
        <f t="shared" si="21"/>
        <v>19.318516525781366</v>
      </c>
      <c r="E27" s="2">
        <f t="shared" si="22"/>
        <v>15.676380902050415</v>
      </c>
      <c r="F27" s="2">
        <f t="shared" si="0"/>
        <v>18.488193100135582</v>
      </c>
      <c r="G27" s="2">
        <f t="shared" si="1"/>
        <v>27.871163629306206</v>
      </c>
      <c r="H27" s="11">
        <f t="shared" si="2"/>
        <v>9.291339582464321</v>
      </c>
      <c r="I27" s="2">
        <f t="shared" si="3"/>
        <v>6.278517870878944</v>
      </c>
      <c r="J27" s="2">
        <f t="shared" si="4"/>
        <v>1.6823237931663848</v>
      </c>
      <c r="K27" s="2">
        <f t="shared" si="5"/>
        <v>1.6968404988606718</v>
      </c>
      <c r="L27" s="2">
        <f t="shared" si="6"/>
        <v>12.01043392264673</v>
      </c>
      <c r="M27" s="2">
        <f t="shared" si="7"/>
        <v>15.095670494501851</v>
      </c>
      <c r="N27" s="2">
        <f t="shared" si="8"/>
        <v>19.215892459374956</v>
      </c>
      <c r="P27" s="2">
        <f t="shared" si="23"/>
        <v>-11.907682995477796</v>
      </c>
      <c r="Q27" s="2">
        <f t="shared" si="24"/>
        <v>1.567676206833616</v>
      </c>
      <c r="R27" s="2">
        <f t="shared" si="25"/>
        <v>12.01043392264673</v>
      </c>
      <c r="S27" s="7">
        <f t="shared" si="26"/>
        <v>29.875261505131636</v>
      </c>
      <c r="T27" s="2">
        <f t="shared" si="9"/>
        <v>3471.047071060466</v>
      </c>
      <c r="U27" s="2">
        <f t="shared" si="27"/>
        <v>58.91559276677496</v>
      </c>
      <c r="V27" s="2">
        <f t="shared" si="45"/>
        <v>-4.538725072603801</v>
      </c>
      <c r="W27" s="2">
        <f t="shared" si="11"/>
        <v>3.1064408436855215</v>
      </c>
      <c r="X27" s="2">
        <f t="shared" si="28"/>
        <v>5.188077818883894</v>
      </c>
      <c r="Y27" s="2">
        <f t="shared" si="12"/>
        <v>1.8258829494808624</v>
      </c>
      <c r="Z27" s="2">
        <f t="shared" si="13"/>
        <v>9.810735090209256</v>
      </c>
      <c r="AA27" s="2">
        <f t="shared" si="14"/>
        <v>126.22216058902409</v>
      </c>
      <c r="AB27" s="2">
        <f t="shared" si="29"/>
        <v>3.0125576896269144</v>
      </c>
      <c r="AC27" s="2">
        <f t="shared" si="30"/>
        <v>20.138335043979783</v>
      </c>
      <c r="AD27" s="11">
        <f t="shared" si="31"/>
        <v>-3.7905523197079667</v>
      </c>
      <c r="AE27" s="2">
        <f t="shared" si="32"/>
        <v>-0.6493527462800932</v>
      </c>
      <c r="AF27" s="12">
        <f t="shared" si="33"/>
        <v>1.567676206833616</v>
      </c>
      <c r="AG27" s="2">
        <f t="shared" si="34"/>
        <v>1.6968404988606718</v>
      </c>
      <c r="AH27" s="12">
        <f t="shared" si="35"/>
        <v>10.935104655581508</v>
      </c>
      <c r="AI27" s="2">
        <f t="shared" si="15"/>
        <v>-32.47866655166493</v>
      </c>
      <c r="AJ27" s="2">
        <f t="shared" si="36"/>
        <v>0</v>
      </c>
      <c r="AK27" s="2">
        <f t="shared" si="37"/>
        <v>0</v>
      </c>
      <c r="AL27" s="2">
        <f t="shared" si="38"/>
        <v>0</v>
      </c>
      <c r="AM27" s="2">
        <f t="shared" si="39"/>
        <v>0</v>
      </c>
      <c r="AN27" s="2">
        <f t="shared" si="40"/>
        <v>0</v>
      </c>
      <c r="AO27" s="2">
        <f t="shared" si="41"/>
        <v>0</v>
      </c>
      <c r="AP27" s="2">
        <f t="shared" si="16"/>
        <v>0</v>
      </c>
      <c r="AQ27" s="2">
        <f t="shared" si="42"/>
        <v>0</v>
      </c>
      <c r="AR27" s="2">
        <f t="shared" si="43"/>
        <v>15.095670494501851</v>
      </c>
      <c r="AS27" s="11">
        <f t="shared" si="17"/>
        <v>1.2521122297699652</v>
      </c>
      <c r="AT27" s="2">
        <f t="shared" si="44"/>
        <v>-2.5384400899380015</v>
      </c>
    </row>
    <row r="28" spans="1:46" ht="12.75">
      <c r="A28">
        <f t="shared" si="18"/>
        <v>16</v>
      </c>
      <c r="B28">
        <f t="shared" si="19"/>
        <v>80</v>
      </c>
      <c r="C28" s="6">
        <f t="shared" si="20"/>
        <v>7.56251071117979</v>
      </c>
      <c r="D28" s="2">
        <f t="shared" si="21"/>
        <v>19.69615506024416</v>
      </c>
      <c r="E28" s="2">
        <f t="shared" si="22"/>
        <v>13.972963553338609</v>
      </c>
      <c r="F28" s="2">
        <f t="shared" si="0"/>
        <v>17.687909803472387</v>
      </c>
      <c r="G28" s="2">
        <f t="shared" si="1"/>
        <v>27.50188702309434</v>
      </c>
      <c r="H28" s="11">
        <f t="shared" si="2"/>
        <v>10.460899485339382</v>
      </c>
      <c r="I28" s="2">
        <f t="shared" si="3"/>
        <v>6.401250394579352</v>
      </c>
      <c r="J28" s="2">
        <f t="shared" si="4"/>
        <v>1.1287131548350477</v>
      </c>
      <c r="K28" s="2">
        <f t="shared" si="5"/>
        <v>2.257426309670095</v>
      </c>
      <c r="L28" s="2">
        <f t="shared" si="6"/>
        <v>12.216004070216808</v>
      </c>
      <c r="M28" s="2">
        <f t="shared" si="7"/>
        <v>15.168914712120664</v>
      </c>
      <c r="N28" s="2">
        <f t="shared" si="8"/>
        <v>19.34504472580908</v>
      </c>
      <c r="P28" s="2">
        <f t="shared" si="23"/>
        <v>-12.030415519178202</v>
      </c>
      <c r="Q28" s="2">
        <f t="shared" si="24"/>
        <v>2.121286845164953</v>
      </c>
      <c r="R28" s="2">
        <f t="shared" si="25"/>
        <v>12.216004070216808</v>
      </c>
      <c r="S28" s="7">
        <f t="shared" si="26"/>
        <v>27.157776509256294</v>
      </c>
      <c r="T28" s="2">
        <f t="shared" si="9"/>
        <v>3776.685527240784</v>
      </c>
      <c r="U28" s="2">
        <f t="shared" si="27"/>
        <v>61.454743732610126</v>
      </c>
      <c r="V28" s="2">
        <f t="shared" si="45"/>
        <v>-4.56820490286103</v>
      </c>
      <c r="W28" s="2">
        <f t="shared" si="11"/>
        <v>3.0629240874491876</v>
      </c>
      <c r="X28" s="2">
        <f t="shared" si="28"/>
        <v>5.340290172841533</v>
      </c>
      <c r="Y28" s="2">
        <f t="shared" si="12"/>
        <v>1.3157890673858612</v>
      </c>
      <c r="Z28" s="2">
        <f t="shared" si="13"/>
        <v>10.061349583607242</v>
      </c>
      <c r="AA28" s="2">
        <f t="shared" si="14"/>
        <v>132.3172859497972</v>
      </c>
      <c r="AB28" s="2">
        <f t="shared" si="29"/>
        <v>3.276869068383152</v>
      </c>
      <c r="AC28" s="2">
        <f t="shared" si="30"/>
        <v>20.42503951058256</v>
      </c>
      <c r="AD28" s="11">
        <f t="shared" si="31"/>
        <v>-4.077256786310745</v>
      </c>
      <c r="AE28" s="2">
        <f t="shared" si="32"/>
        <v>-0.7720852699805016</v>
      </c>
      <c r="AF28" s="12">
        <f t="shared" si="33"/>
        <v>2.121286845164953</v>
      </c>
      <c r="AG28" s="2">
        <f t="shared" si="34"/>
        <v>2.257426309670095</v>
      </c>
      <c r="AH28" s="12">
        <f t="shared" si="35"/>
        <v>14.450351055509508</v>
      </c>
      <c r="AI28" s="2">
        <f t="shared" si="15"/>
        <v>-54.65944593384475</v>
      </c>
      <c r="AJ28" s="2">
        <f t="shared" si="36"/>
        <v>0</v>
      </c>
      <c r="AK28" s="2">
        <f t="shared" si="37"/>
        <v>0</v>
      </c>
      <c r="AL28" s="2">
        <f t="shared" si="38"/>
        <v>0</v>
      </c>
      <c r="AM28" s="2">
        <f t="shared" si="39"/>
        <v>0</v>
      </c>
      <c r="AN28" s="2">
        <f t="shared" si="40"/>
        <v>0</v>
      </c>
      <c r="AO28" s="2">
        <f t="shared" si="41"/>
        <v>0</v>
      </c>
      <c r="AP28" s="2">
        <f t="shared" si="16"/>
        <v>0</v>
      </c>
      <c r="AQ28" s="2">
        <f t="shared" si="42"/>
        <v>0</v>
      </c>
      <c r="AR28" s="2">
        <f t="shared" si="43"/>
        <v>15.168914712120664</v>
      </c>
      <c r="AS28" s="11">
        <f t="shared" si="17"/>
        <v>1.1788680121511526</v>
      </c>
      <c r="AT28" s="2">
        <f t="shared" si="44"/>
        <v>-2.898388774159592</v>
      </c>
    </row>
    <row r="29" spans="1:46" ht="12.75">
      <c r="A29">
        <f t="shared" si="18"/>
        <v>17</v>
      </c>
      <c r="B29">
        <f t="shared" si="19"/>
        <v>85</v>
      </c>
      <c r="C29" s="6">
        <f t="shared" si="20"/>
        <v>8.394664132577475</v>
      </c>
      <c r="D29" s="2">
        <f t="shared" si="21"/>
        <v>19.92389396183491</v>
      </c>
      <c r="E29" s="2">
        <f t="shared" si="22"/>
        <v>12.243114854953163</v>
      </c>
      <c r="F29" s="2">
        <f t="shared" si="0"/>
        <v>16.88832103332026</v>
      </c>
      <c r="G29" s="2">
        <f t="shared" si="1"/>
        <v>27.089388023156857</v>
      </c>
      <c r="H29" s="11">
        <f t="shared" si="2"/>
        <v>11.672987255428993</v>
      </c>
      <c r="I29" s="2">
        <f t="shared" si="3"/>
        <v>6.475265537596346</v>
      </c>
      <c r="J29" s="2">
        <f t="shared" si="4"/>
        <v>0.5665123278597779</v>
      </c>
      <c r="K29" s="2">
        <f t="shared" si="5"/>
        <v>2.813714981195339</v>
      </c>
      <c r="L29" s="2">
        <f t="shared" si="6"/>
        <v>12.39832035972695</v>
      </c>
      <c r="M29" s="2">
        <f t="shared" si="7"/>
        <v>15.261618262668055</v>
      </c>
      <c r="N29" s="2">
        <f t="shared" si="8"/>
        <v>19.460687237156346</v>
      </c>
      <c r="P29" s="2">
        <f t="shared" si="23"/>
        <v>-12.104430662195197</v>
      </c>
      <c r="Q29" s="2">
        <f t="shared" si="24"/>
        <v>2.683487672140223</v>
      </c>
      <c r="R29" s="2">
        <f t="shared" si="25"/>
        <v>12.39832035972695</v>
      </c>
      <c r="S29" s="7">
        <f t="shared" si="26"/>
        <v>24.233604435831705</v>
      </c>
      <c r="T29" s="2">
        <f t="shared" si="9"/>
        <v>4062.712435255837</v>
      </c>
      <c r="U29" s="2">
        <f t="shared" si="27"/>
        <v>63.73941037737827</v>
      </c>
      <c r="V29" s="2">
        <f t="shared" si="45"/>
        <v>-4.5960596440377905</v>
      </c>
      <c r="W29" s="2">
        <f t="shared" si="11"/>
        <v>3.0209660290124445</v>
      </c>
      <c r="X29" s="2">
        <f t="shared" si="28"/>
        <v>5.442160057035286</v>
      </c>
      <c r="Y29" s="2">
        <f t="shared" si="12"/>
        <v>0.795546298847335</v>
      </c>
      <c r="Z29" s="2">
        <f t="shared" si="13"/>
        <v>10.28194279999747</v>
      </c>
      <c r="AA29" s="2">
        <f t="shared" si="14"/>
        <v>138.366580349845</v>
      </c>
      <c r="AB29" s="2">
        <f t="shared" si="29"/>
        <v>3.545412303222226</v>
      </c>
      <c r="AC29" s="2">
        <f t="shared" si="30"/>
        <v>20.712270308727096</v>
      </c>
      <c r="AD29" s="11">
        <f t="shared" si="31"/>
        <v>-4.364487584455279</v>
      </c>
      <c r="AE29" s="2">
        <f t="shared" si="32"/>
        <v>-0.8461004129974956</v>
      </c>
      <c r="AF29" s="12">
        <f t="shared" si="33"/>
        <v>2.683487672140223</v>
      </c>
      <c r="AG29" s="2">
        <f t="shared" si="34"/>
        <v>2.813714981195339</v>
      </c>
      <c r="AH29" s="12">
        <f t="shared" si="35"/>
        <v>17.85562155854456</v>
      </c>
      <c r="AI29" s="2">
        <f t="shared" si="15"/>
        <v>-79.33421338101789</v>
      </c>
      <c r="AJ29" s="2">
        <f t="shared" si="36"/>
        <v>0</v>
      </c>
      <c r="AK29" s="2">
        <f t="shared" si="37"/>
        <v>0</v>
      </c>
      <c r="AL29" s="2">
        <f t="shared" si="38"/>
        <v>0</v>
      </c>
      <c r="AM29" s="2">
        <f t="shared" si="39"/>
        <v>0</v>
      </c>
      <c r="AN29" s="2">
        <f t="shared" si="40"/>
        <v>0</v>
      </c>
      <c r="AO29" s="2">
        <f t="shared" si="41"/>
        <v>0</v>
      </c>
      <c r="AP29" s="2">
        <f t="shared" si="16"/>
        <v>0</v>
      </c>
      <c r="AQ29" s="2">
        <f t="shared" si="42"/>
        <v>0</v>
      </c>
      <c r="AR29" s="2">
        <f t="shared" si="43"/>
        <v>15.261618262668055</v>
      </c>
      <c r="AS29" s="11">
        <f t="shared" si="17"/>
        <v>1.0861644616037616</v>
      </c>
      <c r="AT29" s="2">
        <f t="shared" si="44"/>
        <v>-3.2783231228515177</v>
      </c>
    </row>
    <row r="30" spans="1:46" ht="12.75">
      <c r="A30">
        <f t="shared" si="18"/>
        <v>18</v>
      </c>
      <c r="B30">
        <f t="shared" si="19"/>
        <v>90</v>
      </c>
      <c r="C30" s="6">
        <f t="shared" si="20"/>
        <v>9.243117203609485</v>
      </c>
      <c r="D30" s="2">
        <f t="shared" si="21"/>
        <v>20</v>
      </c>
      <c r="E30" s="2">
        <f t="shared" si="22"/>
        <v>10.500000000000002</v>
      </c>
      <c r="F30" s="2">
        <f t="shared" si="0"/>
        <v>16.096067687980376</v>
      </c>
      <c r="G30" s="2">
        <f t="shared" si="1"/>
        <v>26.63487572683518</v>
      </c>
      <c r="H30" s="11">
        <f t="shared" si="2"/>
        <v>12.919752897090557</v>
      </c>
      <c r="I30" s="2">
        <f t="shared" si="3"/>
        <v>6.5</v>
      </c>
      <c r="J30" s="2">
        <f t="shared" si="4"/>
        <v>3.981732478453015E-16</v>
      </c>
      <c r="K30" s="2">
        <f t="shared" si="5"/>
        <v>3.3646475863327705</v>
      </c>
      <c r="L30" s="2">
        <f t="shared" si="6"/>
        <v>12.557035741757888</v>
      </c>
      <c r="M30" s="2">
        <f t="shared" si="7"/>
        <v>15.37273083678417</v>
      </c>
      <c r="N30" s="2">
        <f t="shared" si="8"/>
        <v>19.562186652309222</v>
      </c>
      <c r="P30" s="2">
        <f t="shared" si="23"/>
        <v>-12.12916512459885</v>
      </c>
      <c r="Q30" s="2">
        <f t="shared" si="24"/>
        <v>3.2500000000000004</v>
      </c>
      <c r="R30" s="2">
        <f t="shared" si="25"/>
        <v>12.557035741757888</v>
      </c>
      <c r="S30" s="7">
        <f t="shared" si="26"/>
        <v>21.12500000000001</v>
      </c>
      <c r="T30" s="2">
        <f t="shared" si="9"/>
        <v>4323.528560248498</v>
      </c>
      <c r="U30" s="2">
        <f t="shared" si="27"/>
        <v>65.75354408888161</v>
      </c>
      <c r="V30" s="2">
        <f t="shared" si="45"/>
        <v>-4.622547492213395</v>
      </c>
      <c r="W30" s="2">
        <f t="shared" si="11"/>
        <v>2.9802776183153896</v>
      </c>
      <c r="X30" s="2">
        <f t="shared" si="28"/>
        <v>5.493382367614545</v>
      </c>
      <c r="Y30" s="2">
        <f t="shared" si="12"/>
        <v>0.26972238168461227</v>
      </c>
      <c r="Z30" s="2">
        <f t="shared" si="13"/>
        <v>10.472781226578977</v>
      </c>
      <c r="AA30" s="2">
        <f t="shared" si="14"/>
        <v>144.37812538490448</v>
      </c>
      <c r="AB30" s="2">
        <f t="shared" si="29"/>
        <v>3.8176762068336147</v>
      </c>
      <c r="AC30" s="2">
        <f t="shared" si="30"/>
        <v>20.999470305240536</v>
      </c>
      <c r="AD30" s="11">
        <f t="shared" si="31"/>
        <v>-4.651687580968719</v>
      </c>
      <c r="AE30" s="2">
        <f t="shared" si="32"/>
        <v>-0.8708348754011492</v>
      </c>
      <c r="AF30" s="12">
        <f t="shared" si="33"/>
        <v>3.2500000000000004</v>
      </c>
      <c r="AG30" s="2">
        <f t="shared" si="34"/>
        <v>3.3646475863327705</v>
      </c>
      <c r="AH30" s="12">
        <f t="shared" si="35"/>
        <v>21.125000000000004</v>
      </c>
      <c r="AI30" s="2">
        <f t="shared" si="15"/>
        <v>-103.80981024849831</v>
      </c>
      <c r="AJ30" s="2">
        <f t="shared" si="36"/>
        <v>0</v>
      </c>
      <c r="AK30" s="2">
        <f t="shared" si="37"/>
        <v>0</v>
      </c>
      <c r="AL30" s="2">
        <f t="shared" si="38"/>
        <v>0</v>
      </c>
      <c r="AM30" s="2">
        <f t="shared" si="39"/>
        <v>0</v>
      </c>
      <c r="AN30" s="2">
        <f t="shared" si="40"/>
        <v>0</v>
      </c>
      <c r="AO30" s="2">
        <f t="shared" si="41"/>
        <v>0</v>
      </c>
      <c r="AP30" s="2">
        <f t="shared" si="16"/>
        <v>0</v>
      </c>
      <c r="AQ30" s="2">
        <f t="shared" si="42"/>
        <v>0</v>
      </c>
      <c r="AR30" s="2">
        <f t="shared" si="43"/>
        <v>15.37273083678417</v>
      </c>
      <c r="AS30" s="11">
        <f t="shared" si="17"/>
        <v>0.9750518874876466</v>
      </c>
      <c r="AT30" s="2">
        <f t="shared" si="44"/>
        <v>-3.6766356934810727</v>
      </c>
    </row>
    <row r="36" spans="7:8" ht="12.75">
      <c r="G36" s="1"/>
      <c r="H36" s="1"/>
    </row>
  </sheetData>
  <mergeCells count="4">
    <mergeCell ref="V9:Y9"/>
    <mergeCell ref="AK9:AN9"/>
    <mergeCell ref="P8:AD8"/>
    <mergeCell ref="AE8:AS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A1">
      <selection activeCell="A1" sqref="A1"/>
    </sheetView>
  </sheetViews>
  <sheetFormatPr defaultColWidth="9.140625" defaultRowHeight="12.75"/>
  <sheetData>
    <row r="1" ht="12.75">
      <c r="B1" t="s">
        <v>53</v>
      </c>
    </row>
    <row r="3" ht="12.75">
      <c r="B3" t="s">
        <v>23</v>
      </c>
    </row>
    <row r="4" ht="12.75">
      <c r="B4" t="s">
        <v>54</v>
      </c>
    </row>
    <row r="5" ht="12.75">
      <c r="B5" t="s">
        <v>55</v>
      </c>
    </row>
    <row r="6" ht="12.75">
      <c r="B6" t="s">
        <v>27</v>
      </c>
    </row>
    <row r="7" ht="12.75">
      <c r="B7" t="s">
        <v>56</v>
      </c>
    </row>
    <row r="9" ht="12.75">
      <c r="B9" t="s">
        <v>24</v>
      </c>
    </row>
    <row r="11" ht="12.75">
      <c r="B11" t="s">
        <v>41</v>
      </c>
    </row>
    <row r="12" ht="12.75">
      <c r="B12" t="s">
        <v>28</v>
      </c>
    </row>
    <row r="15" ht="12.75">
      <c r="B15" t="s">
        <v>29</v>
      </c>
    </row>
    <row r="16" ht="12.75">
      <c r="B16" t="s">
        <v>30</v>
      </c>
    </row>
    <row r="19" ht="12.75">
      <c r="B19" t="s">
        <v>25</v>
      </c>
    </row>
    <row r="21" ht="12.75">
      <c r="B21" t="s">
        <v>31</v>
      </c>
    </row>
    <row r="22" spans="2:3" ht="12.75">
      <c r="B22" t="s">
        <v>32</v>
      </c>
      <c r="C22" t="s">
        <v>21</v>
      </c>
    </row>
    <row r="23" spans="2:3" ht="12.75">
      <c r="B23" s="8">
        <v>0</v>
      </c>
      <c r="C23" t="s">
        <v>20</v>
      </c>
    </row>
    <row r="24" spans="2:3" ht="12.75">
      <c r="B24" t="s">
        <v>33</v>
      </c>
      <c r="C24" t="s">
        <v>22</v>
      </c>
    </row>
    <row r="27" ht="12.75">
      <c r="B27" t="s">
        <v>65</v>
      </c>
    </row>
    <row r="28" ht="12.75">
      <c r="B28" s="13"/>
    </row>
    <row r="29" ht="12.75">
      <c r="B29" t="s">
        <v>78</v>
      </c>
    </row>
    <row r="30" ht="12.75">
      <c r="B30" t="s">
        <v>77</v>
      </c>
    </row>
    <row r="31" ht="12.75">
      <c r="B31" t="s">
        <v>66</v>
      </c>
    </row>
    <row r="32" ht="12.75">
      <c r="B32" t="s">
        <v>76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1"/>
  <sheetViews>
    <sheetView workbookViewId="0" topLeftCell="A1">
      <selection activeCell="A1" sqref="A1"/>
    </sheetView>
  </sheetViews>
  <sheetFormatPr defaultColWidth="9.140625" defaultRowHeight="12.75"/>
  <sheetData>
    <row r="3" ht="12.75">
      <c r="B3" t="s">
        <v>9</v>
      </c>
    </row>
    <row r="4" spans="2:5" ht="12.75">
      <c r="B4">
        <v>0</v>
      </c>
      <c r="C4">
        <v>30</v>
      </c>
      <c r="D4">
        <v>60</v>
      </c>
      <c r="E4">
        <v>90</v>
      </c>
    </row>
    <row r="5" spans="1:5" ht="12.75">
      <c r="A5">
        <v>0</v>
      </c>
      <c r="B5" s="2">
        <v>0</v>
      </c>
      <c r="C5" s="2">
        <v>0</v>
      </c>
      <c r="D5" s="2">
        <v>0</v>
      </c>
      <c r="E5" s="2">
        <v>0</v>
      </c>
    </row>
    <row r="6" spans="1:5" ht="12.75">
      <c r="A6">
        <v>5</v>
      </c>
      <c r="B6" s="2">
        <v>0.003946505985886972</v>
      </c>
      <c r="C6" s="2">
        <v>0.014427476942389106</v>
      </c>
      <c r="D6" s="2">
        <v>0.03660706425470295</v>
      </c>
      <c r="E6" s="2">
        <v>0.04814776816594346</v>
      </c>
    </row>
    <row r="7" spans="1:5" ht="12.75">
      <c r="A7">
        <v>10</v>
      </c>
      <c r="B7" s="2">
        <v>0.015927462284906824</v>
      </c>
      <c r="C7" s="2">
        <v>0.057727271637638466</v>
      </c>
      <c r="D7" s="2">
        <v>0.1427651902161653</v>
      </c>
      <c r="E7" s="2">
        <v>0.19244411378904402</v>
      </c>
    </row>
    <row r="8" spans="1:5" ht="12.75">
      <c r="A8">
        <v>15</v>
      </c>
      <c r="B8" s="2">
        <v>0.03636025088842487</v>
      </c>
      <c r="C8" s="2">
        <v>0.1299494325519106</v>
      </c>
      <c r="D8" s="2">
        <v>0.3150823742345725</v>
      </c>
      <c r="E8" s="2">
        <v>0.4324483762675513</v>
      </c>
    </row>
    <row r="9" spans="1:5" ht="12.75">
      <c r="A9">
        <v>20</v>
      </c>
      <c r="B9" s="2">
        <v>0.06591781040977907</v>
      </c>
      <c r="C9" s="2">
        <v>0.23117045028832273</v>
      </c>
      <c r="D9" s="2">
        <v>0.5519666566587986</v>
      </c>
      <c r="E9" s="2">
        <v>0.767426797045001</v>
      </c>
    </row>
    <row r="10" spans="1:5" ht="12.75">
      <c r="A10">
        <v>25</v>
      </c>
      <c r="B10" s="2">
        <v>0.10549598366830182</v>
      </c>
      <c r="C10" s="2">
        <v>0.3614825033893716</v>
      </c>
      <c r="D10" s="2">
        <v>0.8515991002939423</v>
      </c>
      <c r="E10" s="2">
        <v>1.1963533744672894</v>
      </c>
    </row>
    <row r="11" spans="1:5" ht="12.75">
      <c r="A11">
        <v>30</v>
      </c>
      <c r="B11" s="2">
        <v>0.15617043090856342</v>
      </c>
      <c r="C11" s="2">
        <v>0.520977755151744</v>
      </c>
      <c r="D11" s="2">
        <v>1.2119474350286783</v>
      </c>
      <c r="E11" s="2">
        <v>1.7199516894387727</v>
      </c>
    </row>
    <row r="12" spans="1:5" ht="12.75">
      <c r="A12">
        <v>35</v>
      </c>
      <c r="B12" s="2">
        <v>0.21914538527618532</v>
      </c>
      <c r="C12" s="2">
        <v>0.7096882769661512</v>
      </c>
      <c r="D12" s="2">
        <v>1.6307781968714057</v>
      </c>
      <c r="E12" s="2">
        <v>2.3392188121182826</v>
      </c>
    </row>
    <row r="13" spans="1:5" ht="12.75">
      <c r="A13">
        <v>40</v>
      </c>
      <c r="B13" s="2">
        <v>0.2956967463351674</v>
      </c>
      <c r="C13" s="2">
        <v>0.9240765392057817</v>
      </c>
      <c r="D13" s="2">
        <v>2.105665760959919</v>
      </c>
      <c r="E13" s="2">
        <v>3.051322801079051</v>
      </c>
    </row>
    <row r="14" spans="1:5" ht="12.75">
      <c r="A14">
        <v>45</v>
      </c>
      <c r="B14" s="2">
        <v>0.3871120052165331</v>
      </c>
      <c r="C14" s="2">
        <v>1.1611156269816707</v>
      </c>
      <c r="D14" s="2">
        <v>2.6339962963026498</v>
      </c>
      <c r="E14" s="2">
        <v>3.8530962587547126</v>
      </c>
    </row>
    <row r="15" spans="1:5" ht="12.75">
      <c r="A15">
        <v>50</v>
      </c>
      <c r="B15" s="2">
        <v>0.4946293057789468</v>
      </c>
      <c r="C15" s="2">
        <v>1.419736219883724</v>
      </c>
      <c r="D15" s="2">
        <v>3.2129643372862304</v>
      </c>
      <c r="E15" s="2">
        <v>4.7410856371006</v>
      </c>
    </row>
    <row r="16" spans="1:5" ht="12.75">
      <c r="A16">
        <v>55</v>
      </c>
      <c r="B16" s="2">
        <v>0.6193776234920492</v>
      </c>
      <c r="C16" s="2">
        <v>1.698748928491117</v>
      </c>
      <c r="D16" s="2">
        <v>3.8395593929697007</v>
      </c>
      <c r="E16" s="2">
        <v>5.711559514214379</v>
      </c>
    </row>
    <row r="17" spans="1:5" ht="12.75">
      <c r="A17">
        <v>60</v>
      </c>
      <c r="B17" s="2">
        <v>0.7623196488161952</v>
      </c>
      <c r="C17" s="2">
        <v>1.9968015201906066</v>
      </c>
      <c r="D17" s="2">
        <v>4.51053981437795</v>
      </c>
      <c r="E17" s="2">
        <v>6.760512700561248</v>
      </c>
    </row>
    <row r="18" spans="1:5" ht="12.75">
      <c r="A18">
        <v>65</v>
      </c>
      <c r="B18" s="2">
        <v>0.9241206148342727</v>
      </c>
      <c r="C18" s="2">
        <v>2.312331432275922</v>
      </c>
      <c r="D18" s="2">
        <v>5.222391022444096</v>
      </c>
      <c r="E18" s="2">
        <v>7.88366325305253</v>
      </c>
    </row>
    <row r="19" spans="1:5" ht="12.75">
      <c r="A19">
        <v>70</v>
      </c>
      <c r="B19" s="2">
        <v>1.0981344673071263</v>
      </c>
      <c r="C19" s="2">
        <v>2.6435152550881043</v>
      </c>
      <c r="D19" s="2">
        <v>5.971265178498015</v>
      </c>
      <c r="E19" s="2">
        <v>9.076438423334242</v>
      </c>
    </row>
    <row r="20" spans="1:5" ht="12.75">
      <c r="A20">
        <v>75</v>
      </c>
      <c r="B20" s="2">
        <v>1.2785864931051236</v>
      </c>
      <c r="C20" s="2">
        <v>2.9882171943901756</v>
      </c>
      <c r="D20" s="2">
        <v>6.7528994925263195</v>
      </c>
      <c r="E20" s="2">
        <v>10.333944183179854</v>
      </c>
    </row>
    <row r="21" spans="1:5" ht="12.75">
      <c r="A21">
        <v>80</v>
      </c>
      <c r="B21" s="2">
        <v>1.4635065075826432</v>
      </c>
      <c r="C21" s="2">
        <v>3.3439388953633244</v>
      </c>
      <c r="D21" s="2">
        <v>7.56251071117979</v>
      </c>
      <c r="E21" s="2">
        <v>11.650911109447108</v>
      </c>
    </row>
    <row r="22" spans="1:5" ht="12.75">
      <c r="A22">
        <v>85</v>
      </c>
      <c r="B22" s="2">
        <v>1.6506290470238554</v>
      </c>
      <c r="C22" s="2">
        <v>3.707773481380354</v>
      </c>
      <c r="D22" s="2">
        <v>8.394664132577475</v>
      </c>
      <c r="E22" s="2">
        <v>13.021606846303996</v>
      </c>
    </row>
    <row r="23" spans="1:5" ht="12.75">
      <c r="A23">
        <v>90</v>
      </c>
      <c r="B23" s="2">
        <v>1.8373782126355422</v>
      </c>
      <c r="C23" s="2">
        <v>4.076367269297297</v>
      </c>
      <c r="D23" s="2">
        <v>9.243117203609485</v>
      </c>
      <c r="E23" s="2">
        <v>14.439701756886937</v>
      </c>
    </row>
    <row r="26" spans="1:5" ht="12.75">
      <c r="A26" t="s">
        <v>0</v>
      </c>
      <c r="D26">
        <v>11</v>
      </c>
      <c r="E26" t="s">
        <v>1</v>
      </c>
    </row>
    <row r="27" spans="1:5" ht="12.75">
      <c r="A27" t="s">
        <v>2</v>
      </c>
      <c r="D27">
        <v>10.5</v>
      </c>
      <c r="E27" t="s">
        <v>1</v>
      </c>
    </row>
    <row r="28" spans="1:5" ht="12.75">
      <c r="A28" t="s">
        <v>3</v>
      </c>
      <c r="D28">
        <v>20</v>
      </c>
      <c r="E28" t="s">
        <v>1</v>
      </c>
    </row>
    <row r="29" spans="1:5" ht="12.75">
      <c r="A29" t="s">
        <v>8</v>
      </c>
      <c r="D29">
        <v>90</v>
      </c>
      <c r="E29" t="s">
        <v>4</v>
      </c>
    </row>
    <row r="30" spans="1:5" ht="12.75">
      <c r="A30" t="s">
        <v>45</v>
      </c>
      <c r="D30">
        <v>15</v>
      </c>
      <c r="E30" t="s">
        <v>1</v>
      </c>
    </row>
    <row r="31" spans="1:5" ht="12.75">
      <c r="A31" t="s">
        <v>83</v>
      </c>
      <c r="D31">
        <v>6.5</v>
      </c>
      <c r="E31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Gilbert</dc:creator>
  <cp:keywords/>
  <dc:description/>
  <cp:lastModifiedBy>ltg</cp:lastModifiedBy>
  <dcterms:created xsi:type="dcterms:W3CDTF">2002-12-26T00:04:09Z</dcterms:created>
  <dcterms:modified xsi:type="dcterms:W3CDTF">2006-04-30T18:29:58Z</dcterms:modified>
  <cp:category/>
  <cp:version/>
  <cp:contentType/>
  <cp:contentStatus/>
</cp:coreProperties>
</file>